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inetpub\wwwroot\CONSULTAWEB2024\AJOnline\Actividad Por Jurisdiccion\Partidos Judiciales\ZARAGOZA\"/>
    </mc:Choice>
  </mc:AlternateContent>
  <workbookProtection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W19" i="8" l="1"/>
  <c r="EV19" i="19"/>
  <c r="EW19" i="19"/>
  <c r="AW13" i="11"/>
  <c r="AU13" i="17"/>
  <c r="AW18" i="11"/>
  <c r="BP18" i="16"/>
  <c r="BP13" i="16"/>
  <c r="AX13" i="21"/>
  <c r="AY19" i="20"/>
  <c r="AW18" i="20"/>
  <c r="AW13" i="20"/>
  <c r="AU18" i="17"/>
  <c r="EV19" i="8"/>
  <c r="EV19" i="13"/>
  <c r="AU19" i="17" l="1"/>
  <c r="AX21" i="21"/>
  <c r="BR19" i="16"/>
  <c r="AW21" i="11"/>
  <c r="BB16" i="13"/>
  <c r="BA16" i="13"/>
  <c r="BB15" i="13"/>
  <c r="BA15" i="13"/>
  <c r="BF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8" i="17" s="1"/>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O19" i="19" s="1"/>
  <c r="AN13" i="19"/>
  <c r="AM13" i="19"/>
  <c r="AL13" i="19"/>
  <c r="AK13" i="19"/>
  <c r="AJ13" i="19"/>
  <c r="AI13" i="19"/>
  <c r="AH13" i="19"/>
  <c r="AG13" i="19"/>
  <c r="AF13" i="19"/>
  <c r="AE13" i="19"/>
  <c r="AD13" i="19"/>
  <c r="AC13" i="19"/>
  <c r="AB13" i="19"/>
  <c r="AB19" i="19" s="1"/>
  <c r="AA13" i="19"/>
  <c r="Z13" i="19"/>
  <c r="Y13" i="19"/>
  <c r="X13" i="19"/>
  <c r="W13" i="19"/>
  <c r="V13" i="19"/>
  <c r="U13" i="19"/>
  <c r="T13" i="19"/>
  <c r="T19" i="19" s="1"/>
  <c r="S13" i="19"/>
  <c r="R13" i="19"/>
  <c r="Q13" i="19"/>
  <c r="P13" i="19"/>
  <c r="O13" i="19"/>
  <c r="N13" i="19"/>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F15" i="16" s="1"/>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B13" i="13" s="1"/>
  <c r="BA9" i="13"/>
  <c r="AY9" i="13"/>
  <c r="BC12" i="13"/>
  <c r="BC11" i="13"/>
  <c r="BC10" i="13"/>
  <c r="BB10" i="13"/>
  <c r="BA10" i="13"/>
  <c r="AZ10" i="13"/>
  <c r="AY10" i="13"/>
  <c r="BC9" i="13"/>
  <c r="BC17" i="13"/>
  <c r="BB17" i="13"/>
  <c r="BE17" i="13" s="1"/>
  <c r="BA17" i="13"/>
  <c r="BD17" i="13" s="1"/>
  <c r="AZ17" i="13"/>
  <c r="AY17" i="13"/>
  <c r="BC16" i="13"/>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K19" i="8" s="1"/>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R18" i="11" s="1"/>
  <c r="O18" i="8"/>
  <c r="M18" i="8"/>
  <c r="N18" i="8"/>
  <c r="L18" i="8"/>
  <c r="G18" i="12" s="1"/>
  <c r="K18" i="8"/>
  <c r="J18" i="8"/>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AG13" i="8"/>
  <c r="AF13" i="8"/>
  <c r="AE13" i="8"/>
  <c r="AD13" i="8"/>
  <c r="AC13" i="8"/>
  <c r="AB13" i="8"/>
  <c r="AA13" i="8"/>
  <c r="Z13" i="8"/>
  <c r="Y13" i="8"/>
  <c r="X13" i="8"/>
  <c r="W13" i="8"/>
  <c r="V13" i="8"/>
  <c r="U13" i="8"/>
  <c r="T13" i="8"/>
  <c r="S13" i="8"/>
  <c r="R13" i="8"/>
  <c r="Q13" i="8"/>
  <c r="P13" i="8"/>
  <c r="O13" i="8"/>
  <c r="N13" i="8"/>
  <c r="M13" i="8"/>
  <c r="L13" i="8"/>
  <c r="K13" i="8"/>
  <c r="J13" i="8"/>
  <c r="I13" i="8"/>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S5" i="9"/>
  <c r="R8" i="9" s="1"/>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C17" i="2"/>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W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AN18" i="17"/>
  <c r="AS13" i="8"/>
  <c r="AZ13" i="19"/>
  <c r="BB13" i="19"/>
  <c r="BA18" i="19"/>
  <c r="AY13" i="19"/>
  <c r="BC13" i="19"/>
  <c r="AY18" i="19"/>
  <c r="BC18" i="19"/>
  <c r="AT19"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BD16" i="13"/>
  <c r="BD18" i="19"/>
  <c r="AR13" i="21"/>
  <c r="R13" i="12"/>
  <c r="AO13" i="20"/>
  <c r="ER19" i="8"/>
  <c r="EL19" i="8"/>
  <c r="AC11" i="11"/>
  <c r="EQ19" i="8"/>
  <c r="EN19" i="8"/>
  <c r="AT18" i="17"/>
  <c r="BA13" i="16"/>
  <c r="N10" i="11"/>
  <c r="Y9" i="11"/>
  <c r="ES19" i="8"/>
  <c r="C18" i="7"/>
  <c r="AS19" i="8"/>
  <c r="EP19" i="8"/>
  <c r="AL13" i="16"/>
  <c r="S13" i="16"/>
  <c r="H18" i="16"/>
  <c r="P13" i="16"/>
  <c r="W13" i="20"/>
  <c r="Z13" i="17"/>
  <c r="F13" i="7"/>
  <c r="T13" i="12"/>
  <c r="T13" i="16"/>
  <c r="AE13" i="17"/>
  <c r="I19" i="8"/>
  <c r="AV18" i="17"/>
  <c r="J18" i="17"/>
  <c r="T13" i="20"/>
  <c r="AP13" i="16"/>
  <c r="F11" i="16"/>
  <c r="BE16" i="13"/>
  <c r="BF16" i="13"/>
  <c r="AV20" i="20"/>
  <c r="AK20" i="20"/>
  <c r="S20" i="20"/>
  <c r="X20" i="20"/>
  <c r="AG20" i="20"/>
  <c r="AC20" i="20"/>
  <c r="O16" i="11"/>
  <c r="AM20" i="20"/>
  <c r="AX20" i="20"/>
  <c r="Y20" i="20"/>
  <c r="R20" i="20"/>
  <c r="N20" i="20"/>
  <c r="E20" i="20"/>
  <c r="AA20" i="20"/>
  <c r="G18" i="14"/>
  <c r="W20" i="21"/>
  <c r="AU20" i="20"/>
  <c r="AI20" i="20"/>
  <c r="F20" i="20"/>
  <c r="M20" i="20"/>
  <c r="L20" i="20"/>
  <c r="AH20" i="20"/>
  <c r="Q20" i="20"/>
  <c r="W20" i="20"/>
  <c r="AE20" i="20"/>
  <c r="U12" i="11"/>
  <c r="AL20" i="20"/>
  <c r="AQ20" i="20"/>
  <c r="AD20" i="20"/>
  <c r="T20" i="21"/>
  <c r="K20" i="20"/>
  <c r="U10" i="11"/>
  <c r="AF20" i="20"/>
  <c r="I20" i="20"/>
  <c r="J20" i="20"/>
  <c r="Z20" i="20"/>
  <c r="G13" i="14"/>
  <c r="AO20" i="20"/>
  <c r="AP20" i="20"/>
  <c r="H20" i="20"/>
  <c r="AJ20" i="20"/>
  <c r="AB20" i="20"/>
  <c r="AZ20" i="20"/>
  <c r="U16" i="11"/>
  <c r="P20" i="20"/>
  <c r="T20" i="20"/>
  <c r="O20" i="20"/>
  <c r="AN20" i="20"/>
  <c r="AQ20" i="21"/>
  <c r="BM18" i="16" l="1"/>
  <c r="L19" i="8"/>
  <c r="AW18" i="21"/>
  <c r="B18" i="2"/>
  <c r="AJ19" i="8"/>
  <c r="AH19" i="8"/>
  <c r="X19" i="8"/>
  <c r="BE12" i="8"/>
  <c r="BD12" i="8"/>
  <c r="H12" i="7" s="1"/>
  <c r="E13" i="17"/>
  <c r="AC19" i="8"/>
  <c r="B13" i="7"/>
  <c r="F16" i="17"/>
  <c r="BE12" i="21"/>
  <c r="E9" i="6"/>
  <c r="K9" i="12" s="1"/>
  <c r="F17" i="17"/>
  <c r="AQ17" i="17" s="1"/>
  <c r="BE9" i="8"/>
  <c r="F9" i="11"/>
  <c r="BF9" i="8"/>
  <c r="BG12" i="8"/>
  <c r="K12" i="7" s="1"/>
  <c r="BG9" i="8"/>
  <c r="E12" i="6"/>
  <c r="BA13" i="8"/>
  <c r="X12" i="21"/>
  <c r="BH9" i="16"/>
  <c r="BJ17" i="11"/>
  <c r="BH15" i="16"/>
  <c r="V11" i="16"/>
  <c r="BF16" i="11"/>
  <c r="BL12" i="11"/>
  <c r="V17" i="16"/>
  <c r="X9" i="17"/>
  <c r="BI10" i="11"/>
  <c r="V9" i="11"/>
  <c r="R10" i="21"/>
  <c r="R13" i="21" s="1"/>
  <c r="BG9" i="11"/>
  <c r="R17" i="20"/>
  <c r="R18" i="20" s="1"/>
  <c r="AZ9" i="11"/>
  <c r="AZ13" i="11" s="1"/>
  <c r="AZ15" i="11"/>
  <c r="AZ18" i="11" s="1"/>
  <c r="BV17" i="16"/>
  <c r="BV12" i="16"/>
  <c r="BV11" i="16"/>
  <c r="U10" i="17"/>
  <c r="V12" i="16"/>
  <c r="BV9" i="16"/>
  <c r="AA15" i="16"/>
  <c r="X17" i="17"/>
  <c r="P15" i="17"/>
  <c r="P18" i="17" s="1"/>
  <c r="P19" i="17" s="1"/>
  <c r="BL15" i="11"/>
  <c r="BJ10" i="11"/>
  <c r="BH11" i="11"/>
  <c r="T11" i="11"/>
  <c r="AQ12" i="21"/>
  <c r="BL16" i="11"/>
  <c r="L15" i="2"/>
  <c r="X15" i="16"/>
  <c r="X18" i="16" s="1"/>
  <c r="AA9" i="16"/>
  <c r="BG10" i="11"/>
  <c r="BK12" i="11"/>
  <c r="AP10" i="21"/>
  <c r="BM15" i="11"/>
  <c r="T15" i="16"/>
  <c r="BV16" i="16"/>
  <c r="BU17" i="17"/>
  <c r="AZ16" i="11"/>
  <c r="S10" i="17"/>
  <c r="BK10" i="11"/>
  <c r="T17" i="11"/>
  <c r="BH11" i="16"/>
  <c r="BH17" i="16"/>
  <c r="BM16" i="11"/>
  <c r="BL17" i="11"/>
  <c r="BF10" i="11"/>
  <c r="Q10" i="11" s="1"/>
  <c r="BK15" i="11"/>
  <c r="V11" i="11"/>
  <c r="BM12" i="11"/>
  <c r="BI15" i="11"/>
  <c r="BJ12" i="11"/>
  <c r="BG15" i="11"/>
  <c r="BH17" i="11"/>
  <c r="T17" i="16"/>
  <c r="T18" i="16" s="1"/>
  <c r="T19" i="16" s="1"/>
  <c r="BU15" i="17"/>
  <c r="BW17" i="20"/>
  <c r="BW16" i="20"/>
  <c r="BW15" i="20"/>
  <c r="BV10" i="16"/>
  <c r="S11" i="17"/>
  <c r="S11" i="14"/>
  <c r="V11" i="14" s="1"/>
  <c r="BG12" i="11"/>
  <c r="BH10" i="11"/>
  <c r="AQ10" i="21"/>
  <c r="BH10" i="16"/>
  <c r="BM17" i="11"/>
  <c r="S17" i="17"/>
  <c r="BH12" i="16"/>
  <c r="L10" i="2"/>
  <c r="S15" i="17"/>
  <c r="L16" i="2"/>
  <c r="U9" i="17"/>
  <c r="U19" i="17" s="1"/>
  <c r="V9" i="16"/>
  <c r="BF11" i="11"/>
  <c r="P17" i="17"/>
  <c r="S9" i="17"/>
  <c r="BJ15" i="11"/>
  <c r="AQ13" i="21"/>
  <c r="BU9" i="17"/>
  <c r="T16" i="11"/>
  <c r="Q15" i="17"/>
  <c r="Q18" i="17" s="1"/>
  <c r="Q19" i="17" s="1"/>
  <c r="BM9" i="11"/>
  <c r="S16" i="17"/>
  <c r="AP16" i="20"/>
  <c r="V15" i="11"/>
  <c r="BH15" i="11"/>
  <c r="Q17" i="20"/>
  <c r="Q18" i="20" s="1"/>
  <c r="BF17" i="11"/>
  <c r="S17" i="16"/>
  <c r="V12" i="21"/>
  <c r="X11" i="17"/>
  <c r="BK11" i="11"/>
  <c r="AZ17" i="11"/>
  <c r="Q10" i="21"/>
  <c r="BJ11" i="11"/>
  <c r="BI17" i="11"/>
  <c r="BL11" i="11"/>
  <c r="BK17" i="11"/>
  <c r="BK18" i="11" s="1"/>
  <c r="AP17" i="20"/>
  <c r="BU11" i="17"/>
  <c r="BU10" i="17"/>
  <c r="BW12" i="20"/>
  <c r="BW11" i="20"/>
  <c r="BW10" i="20"/>
  <c r="BU16" i="17"/>
  <c r="AA17" i="16"/>
  <c r="AZ11" i="11"/>
  <c r="S15" i="16"/>
  <c r="BF12" i="11"/>
  <c r="BL10" i="11"/>
  <c r="BK16" i="11"/>
  <c r="BG16" i="11"/>
  <c r="BH16" i="11"/>
  <c r="BJ16" i="11"/>
  <c r="L17" i="2"/>
  <c r="BL9" i="11"/>
  <c r="BK9" i="11"/>
  <c r="BK13" i="11" s="1"/>
  <c r="BH9" i="11"/>
  <c r="AP15" i="20"/>
  <c r="BW9" i="20"/>
  <c r="BV15" i="16"/>
  <c r="BV18" i="16" s="1"/>
  <c r="BU12" i="17"/>
  <c r="Q17" i="17"/>
  <c r="BI9" i="11"/>
  <c r="BF15" i="11"/>
  <c r="X10" i="21"/>
  <c r="T15" i="11"/>
  <c r="AA11" i="16"/>
  <c r="T17" i="20"/>
  <c r="AA12" i="21"/>
  <c r="S16" i="14"/>
  <c r="V16" i="14" s="1"/>
  <c r="T12" i="11"/>
  <c r="X16" i="17"/>
  <c r="V15" i="16"/>
  <c r="V10" i="16"/>
  <c r="S17" i="14"/>
  <c r="V17" i="14" s="1"/>
  <c r="V18" i="14" s="1"/>
  <c r="R12" i="14"/>
  <c r="T9" i="11"/>
  <c r="AZ12" i="11"/>
  <c r="L9" i="2"/>
  <c r="S10" i="14"/>
  <c r="V10" i="14" s="1"/>
  <c r="R10" i="14"/>
  <c r="R16" i="14"/>
  <c r="AO17" i="17"/>
  <c r="S9" i="14"/>
  <c r="V9" i="14" s="1"/>
  <c r="AA16" i="16"/>
  <c r="X12" i="17"/>
  <c r="X15" i="17"/>
  <c r="X17" i="20"/>
  <c r="X16" i="20"/>
  <c r="L11" i="2"/>
  <c r="X9" i="16"/>
  <c r="X19" i="16" s="1"/>
  <c r="V15" i="20"/>
  <c r="V18" i="20" s="1"/>
  <c r="S15" i="14"/>
  <c r="V15" i="14" s="1"/>
  <c r="AA10" i="16"/>
  <c r="U10" i="21"/>
  <c r="S12" i="14"/>
  <c r="V12" i="14" s="1"/>
  <c r="V13" i="14" s="1"/>
  <c r="R11" i="14"/>
  <c r="R17" i="14"/>
  <c r="R18" i="14" s="1"/>
  <c r="X10" i="17"/>
  <c r="L12" i="2"/>
  <c r="X12" i="16"/>
  <c r="T10" i="21"/>
  <c r="V10" i="21" s="1"/>
  <c r="AO18" i="20"/>
  <c r="AB13" i="21"/>
  <c r="AB19" i="21" s="1"/>
  <c r="EP19" i="19"/>
  <c r="F15" i="17"/>
  <c r="AQ15" i="17" s="1"/>
  <c r="AY13" i="8"/>
  <c r="H13" i="12"/>
  <c r="E18" i="12"/>
  <c r="H13" i="21"/>
  <c r="AP13" i="17"/>
  <c r="C12" i="14"/>
  <c r="K12" i="14" s="1"/>
  <c r="Y17" i="11"/>
  <c r="AC10" i="11"/>
  <c r="AC17" i="11"/>
  <c r="J9" i="7"/>
  <c r="G15" i="3"/>
  <c r="C17" i="6"/>
  <c r="AP13" i="20"/>
  <c r="BL15" i="16"/>
  <c r="BE9" i="13"/>
  <c r="BD12" i="13"/>
  <c r="BE12" i="13"/>
  <c r="BC18" i="13"/>
  <c r="BF15" i="8"/>
  <c r="F17" i="16"/>
  <c r="BL17" i="16" s="1"/>
  <c r="AV18" i="21"/>
  <c r="F12" i="2"/>
  <c r="BF12" i="8"/>
  <c r="J12" i="7" s="1"/>
  <c r="B10" i="6"/>
  <c r="AP11" i="11"/>
  <c r="AF13" i="21"/>
  <c r="AF19" i="21" s="1"/>
  <c r="T19" i="8"/>
  <c r="Z19" i="8"/>
  <c r="AH13" i="11"/>
  <c r="AP9" i="11"/>
  <c r="AP12" i="11"/>
  <c r="R18" i="11"/>
  <c r="N9" i="11"/>
  <c r="F11" i="11"/>
  <c r="AQ11" i="11" s="1"/>
  <c r="E16" i="3"/>
  <c r="G16" i="3"/>
  <c r="I15" i="3"/>
  <c r="I11" i="3"/>
  <c r="M18" i="2"/>
  <c r="N18" i="2"/>
  <c r="C15" i="6"/>
  <c r="F12" i="21"/>
  <c r="AT12" i="21" s="1"/>
  <c r="I19" i="19"/>
  <c r="M19" i="19"/>
  <c r="U19" i="19"/>
  <c r="Y19" i="19"/>
  <c r="AC19" i="19"/>
  <c r="AG19" i="19"/>
  <c r="AK19" i="19"/>
  <c r="AS19" i="19"/>
  <c r="Z19" i="19"/>
  <c r="CK19" i="19"/>
  <c r="AC19" i="13"/>
  <c r="U19" i="13"/>
  <c r="BH19" i="13"/>
  <c r="BG10" i="13"/>
  <c r="BF9" i="13"/>
  <c r="BD11" i="13"/>
  <c r="BE11" i="13"/>
  <c r="BG16" i="13"/>
  <c r="BD17" i="8"/>
  <c r="H17" i="7" s="1"/>
  <c r="BE10" i="8"/>
  <c r="I10" i="7" s="1"/>
  <c r="AY18" i="8"/>
  <c r="AL9" i="11"/>
  <c r="AL17" i="11"/>
  <c r="AO12" i="17"/>
  <c r="D17" i="2"/>
  <c r="S19" i="8"/>
  <c r="B19" i="7" s="1"/>
  <c r="BG10" i="8"/>
  <c r="BD9" i="8"/>
  <c r="BD15" i="8"/>
  <c r="H15" i="7" s="1"/>
  <c r="AE19" i="8"/>
  <c r="BF17" i="8"/>
  <c r="BG17" i="8"/>
  <c r="K17" i="7" s="1"/>
  <c r="BD16" i="8"/>
  <c r="H16" i="7" s="1"/>
  <c r="C19" i="3"/>
  <c r="B13" i="2"/>
  <c r="I12" i="3"/>
  <c r="E10" i="3"/>
  <c r="BF16" i="8"/>
  <c r="J16" i="7" s="1"/>
  <c r="BN18" i="16"/>
  <c r="BN19" i="16" s="1"/>
  <c r="AE13" i="21"/>
  <c r="AE19" i="21" s="1"/>
  <c r="F12" i="11"/>
  <c r="AQ12" i="11" s="1"/>
  <c r="B16" i="6"/>
  <c r="AO16" i="17"/>
  <c r="W13" i="17"/>
  <c r="X13" i="17" s="1"/>
  <c r="AN11" i="11"/>
  <c r="BJ13" i="16"/>
  <c r="D13" i="7"/>
  <c r="D11" i="12"/>
  <c r="Y11" i="11"/>
  <c r="G10" i="3"/>
  <c r="K10" i="7"/>
  <c r="AM15" i="11"/>
  <c r="H11" i="2"/>
  <c r="AO13" i="21"/>
  <c r="BE13" i="21"/>
  <c r="BE19" i="21" s="1"/>
  <c r="X13" i="20"/>
  <c r="N19" i="19"/>
  <c r="R19" i="19"/>
  <c r="V19" i="19"/>
  <c r="AD19" i="19"/>
  <c r="CJ19" i="19"/>
  <c r="CN19" i="19"/>
  <c r="AQ19" i="19"/>
  <c r="AO19" i="13"/>
  <c r="Q19" i="13"/>
  <c r="BE10" i="13"/>
  <c r="BD15" i="13"/>
  <c r="BC13" i="13"/>
  <c r="BF13" i="13" s="1"/>
  <c r="BK19" i="13"/>
  <c r="BB18" i="13"/>
  <c r="AP13" i="21"/>
  <c r="B18" i="7"/>
  <c r="D18" i="12"/>
  <c r="G18" i="7"/>
  <c r="U19" i="8"/>
  <c r="BE11" i="8"/>
  <c r="I11" i="7" s="1"/>
  <c r="BE15" i="8"/>
  <c r="I15" i="7" s="1"/>
  <c r="O19" i="8"/>
  <c r="J10" i="2"/>
  <c r="G12" i="3"/>
  <c r="AG19" i="8"/>
  <c r="Y19" i="8"/>
  <c r="AB19" i="8"/>
  <c r="BF11" i="8"/>
  <c r="L10" i="14"/>
  <c r="L9" i="14"/>
  <c r="F16" i="11"/>
  <c r="AQ16" i="11" s="1"/>
  <c r="Y12" i="11"/>
  <c r="AP10" i="11"/>
  <c r="N12" i="11"/>
  <c r="F15" i="11"/>
  <c r="AQ15" i="11" s="1"/>
  <c r="B11" i="6"/>
  <c r="B9" i="6"/>
  <c r="AO11" i="11"/>
  <c r="AC19" i="17"/>
  <c r="AZ19" i="11"/>
  <c r="F17" i="11"/>
  <c r="AQ17" i="11" s="1"/>
  <c r="AQ10" i="11"/>
  <c r="K18" i="11"/>
  <c r="F9" i="12"/>
  <c r="AN17" i="11"/>
  <c r="BI16" i="16"/>
  <c r="B12" i="6"/>
  <c r="I13" i="2"/>
  <c r="AO12" i="11"/>
  <c r="D9" i="6"/>
  <c r="J9" i="12" s="1"/>
  <c r="AL12" i="11"/>
  <c r="AO10" i="11"/>
  <c r="E17" i="6"/>
  <c r="K17" i="12" s="1"/>
  <c r="BF18" i="19"/>
  <c r="BB19" i="19"/>
  <c r="BE13" i="19"/>
  <c r="P19" i="19"/>
  <c r="AR19" i="19"/>
  <c r="AT18" i="20"/>
  <c r="ER19" i="19"/>
  <c r="AR13" i="20"/>
  <c r="BK19" i="19"/>
  <c r="AS13" i="21"/>
  <c r="AP19" i="19"/>
  <c r="F11" i="17"/>
  <c r="AQ11" i="17" s="1"/>
  <c r="BE15" i="13"/>
  <c r="BA13" i="13"/>
  <c r="BE13" i="13" s="1"/>
  <c r="BD9" i="13"/>
  <c r="AB19" i="13"/>
  <c r="S19" i="13"/>
  <c r="AZ18" i="13"/>
  <c r="BC19" i="13"/>
  <c r="AQ19" i="13"/>
  <c r="AA19" i="13"/>
  <c r="AM19" i="13"/>
  <c r="AE19" i="13"/>
  <c r="W19" i="13"/>
  <c r="V19" i="13"/>
  <c r="BD10" i="13"/>
  <c r="BG11" i="13"/>
  <c r="ER19" i="13"/>
  <c r="BM19" i="13"/>
  <c r="AN19" i="13"/>
  <c r="X19" i="13"/>
  <c r="AY13" i="13"/>
  <c r="J12" i="10"/>
  <c r="L12" i="10" s="1"/>
  <c r="BI17" i="16"/>
  <c r="E17" i="3"/>
  <c r="L16" i="14"/>
  <c r="E11" i="12"/>
  <c r="AM19" i="8"/>
  <c r="AI19" i="8"/>
  <c r="AA19" i="8"/>
  <c r="C13" i="5"/>
  <c r="Q19" i="8"/>
  <c r="D16" i="6"/>
  <c r="C10" i="14"/>
  <c r="K10" i="14" s="1"/>
  <c r="C15" i="14"/>
  <c r="K15" i="14" s="1"/>
  <c r="AO9" i="11"/>
  <c r="C10" i="6"/>
  <c r="H17" i="2"/>
  <c r="Y10" i="11"/>
  <c r="J13" i="11"/>
  <c r="H18" i="12"/>
  <c r="M13" i="2"/>
  <c r="N13" i="2"/>
  <c r="E12" i="12"/>
  <c r="G9" i="12"/>
  <c r="AL19" i="8"/>
  <c r="BE17" i="8"/>
  <c r="I17" i="7" s="1"/>
  <c r="J12" i="2"/>
  <c r="AO16" i="11"/>
  <c r="K18" i="2"/>
  <c r="I18" i="11"/>
  <c r="E9" i="12"/>
  <c r="AE13" i="11"/>
  <c r="D9" i="12"/>
  <c r="G12" i="12"/>
  <c r="AP15" i="11"/>
  <c r="D13" i="5"/>
  <c r="I16" i="3"/>
  <c r="E12" i="3"/>
  <c r="G11" i="3"/>
  <c r="I10" i="3"/>
  <c r="E11" i="6"/>
  <c r="E15" i="6"/>
  <c r="K15" i="12" s="1"/>
  <c r="F15" i="2"/>
  <c r="B15" i="6"/>
  <c r="L15" i="14"/>
  <c r="I9" i="7"/>
  <c r="K9" i="7"/>
  <c r="AO10" i="17"/>
  <c r="I18" i="2"/>
  <c r="AM12" i="11"/>
  <c r="G13" i="2"/>
  <c r="B17" i="6"/>
  <c r="C18" i="2"/>
  <c r="D18" i="2" s="1"/>
  <c r="AO15" i="17"/>
  <c r="E16" i="6"/>
  <c r="D11" i="2"/>
  <c r="AO15" i="11"/>
  <c r="C9" i="6"/>
  <c r="I9" i="12" s="1"/>
  <c r="C12" i="6"/>
  <c r="I12" i="12" s="1"/>
  <c r="AL11" i="11"/>
  <c r="AM11" i="11"/>
  <c r="C11" i="6"/>
  <c r="I11" i="12" s="1"/>
  <c r="L17" i="14"/>
  <c r="E13" i="2"/>
  <c r="I12" i="7"/>
  <c r="L12" i="14"/>
  <c r="H12" i="2"/>
  <c r="AO9" i="17"/>
  <c r="D16" i="2"/>
  <c r="AM9" i="11"/>
  <c r="G18" i="2"/>
  <c r="H18" i="2" s="1"/>
  <c r="L11" i="14"/>
  <c r="D15" i="6"/>
  <c r="J15" i="12" s="1"/>
  <c r="AO17" i="11"/>
  <c r="H9" i="7"/>
  <c r="K15" i="7"/>
  <c r="AM16" i="11"/>
  <c r="AN10" i="11"/>
  <c r="BC21" i="21"/>
  <c r="AU18" i="21"/>
  <c r="L19" i="21"/>
  <c r="M13" i="21"/>
  <c r="M19" i="21" s="1"/>
  <c r="AP18" i="20"/>
  <c r="AJ19" i="19"/>
  <c r="AL19" i="19"/>
  <c r="EL19" i="19"/>
  <c r="S19" i="19"/>
  <c r="AA19" i="19"/>
  <c r="AI19" i="19"/>
  <c r="CL19" i="19"/>
  <c r="BE18" i="19"/>
  <c r="BC19" i="19"/>
  <c r="Q19" i="19"/>
  <c r="X19" i="19"/>
  <c r="AF19" i="19"/>
  <c r="AN19" i="19"/>
  <c r="AM19" i="19"/>
  <c r="BI19" i="19"/>
  <c r="AY19" i="19"/>
  <c r="AM13" i="21"/>
  <c r="AM19" i="21" s="1"/>
  <c r="AL19" i="16"/>
  <c r="Z19" i="13"/>
  <c r="BG9" i="13"/>
  <c r="L19" i="13"/>
  <c r="Y19" i="13"/>
  <c r="BA18" i="13"/>
  <c r="BG12" i="13"/>
  <c r="AD19" i="13"/>
  <c r="AK19" i="13"/>
  <c r="AZ13" i="13"/>
  <c r="AI19" i="13"/>
  <c r="N19" i="13"/>
  <c r="J17" i="10"/>
  <c r="L17" i="10" s="1"/>
  <c r="J15" i="7"/>
  <c r="E15" i="3"/>
  <c r="AN15" i="11"/>
  <c r="H10" i="2"/>
  <c r="F10" i="2"/>
  <c r="J9" i="2"/>
  <c r="F9" i="2"/>
  <c r="F11" i="10"/>
  <c r="J11" i="10"/>
  <c r="L11" i="10" s="1"/>
  <c r="AI18" i="11"/>
  <c r="AG13" i="11"/>
  <c r="H9" i="2"/>
  <c r="J16" i="10"/>
  <c r="L16" i="10" s="1"/>
  <c r="H19" i="21"/>
  <c r="R19" i="8"/>
  <c r="D12" i="12"/>
  <c r="F11" i="12"/>
  <c r="E18" i="7"/>
  <c r="I13" i="11"/>
  <c r="I19" i="11" s="1"/>
  <c r="AR13" i="11"/>
  <c r="N13" i="17"/>
  <c r="AL15" i="11"/>
  <c r="AC12" i="11"/>
  <c r="F17" i="2"/>
  <c r="J15" i="2"/>
  <c r="J9" i="10"/>
  <c r="L9" i="10" s="1"/>
  <c r="D17" i="6"/>
  <c r="H18" i="3"/>
  <c r="I18" i="3" s="1"/>
  <c r="J11" i="7"/>
  <c r="AN9" i="11"/>
  <c r="BD11" i="8"/>
  <c r="H11" i="7" s="1"/>
  <c r="BG16" i="8"/>
  <c r="K16" i="7" s="1"/>
  <c r="AL10" i="11"/>
  <c r="AL16" i="11"/>
  <c r="C16" i="6"/>
  <c r="C13" i="7"/>
  <c r="D18" i="7"/>
  <c r="AV13" i="16"/>
  <c r="G13" i="16"/>
  <c r="G13" i="21"/>
  <c r="G19" i="21" s="1"/>
  <c r="E13" i="21"/>
  <c r="N13" i="21"/>
  <c r="N19" i="21" s="1"/>
  <c r="O13" i="21"/>
  <c r="O19" i="21" s="1"/>
  <c r="AG13" i="21"/>
  <c r="AG19" i="21" s="1"/>
  <c r="AL13" i="21"/>
  <c r="AL21" i="21" s="1"/>
  <c r="AN13" i="21"/>
  <c r="AN19" i="21" s="1"/>
  <c r="AY13" i="21"/>
  <c r="BA21" i="21"/>
  <c r="AT10" i="21"/>
  <c r="AT19" i="8"/>
  <c r="K13" i="17"/>
  <c r="J13" i="17"/>
  <c r="K18" i="17"/>
  <c r="AF13" i="17"/>
  <c r="AX21" i="17"/>
  <c r="AQ10" i="17"/>
  <c r="W18" i="16"/>
  <c r="AG13" i="17"/>
  <c r="AJ18" i="17"/>
  <c r="AJ13" i="17"/>
  <c r="AK18" i="17"/>
  <c r="AK13" i="17"/>
  <c r="AL13" i="17"/>
  <c r="AM13" i="17"/>
  <c r="AV13" i="17"/>
  <c r="AV19" i="17" s="1"/>
  <c r="AT19" i="17"/>
  <c r="EM19" i="8"/>
  <c r="BL11" i="16"/>
  <c r="C17" i="14"/>
  <c r="K17" i="14" s="1"/>
  <c r="F12" i="12"/>
  <c r="AS13" i="11"/>
  <c r="AS18" i="11"/>
  <c r="E13" i="11"/>
  <c r="AH18" i="11"/>
  <c r="AU13" i="11"/>
  <c r="AP17" i="11"/>
  <c r="AT13" i="11"/>
  <c r="AV13" i="11"/>
  <c r="AV18" i="11"/>
  <c r="AX21" i="11"/>
  <c r="R13" i="11"/>
  <c r="Z13" i="11"/>
  <c r="AA13" i="11"/>
  <c r="AB18" i="11"/>
  <c r="AD13" i="11"/>
  <c r="AF18" i="11"/>
  <c r="AF13" i="11"/>
  <c r="Q15" i="11"/>
  <c r="L18" i="11"/>
  <c r="S13" i="11"/>
  <c r="T13" i="11" s="1"/>
  <c r="AY18" i="11"/>
  <c r="AI13" i="11"/>
  <c r="J18" i="11"/>
  <c r="AC15" i="11"/>
  <c r="C18" i="5"/>
  <c r="B13" i="5"/>
  <c r="J17" i="7"/>
  <c r="D12" i="6"/>
  <c r="AN12" i="11"/>
  <c r="I17" i="3"/>
  <c r="J10" i="10"/>
  <c r="L10" i="10" s="1"/>
  <c r="J15" i="10"/>
  <c r="L15" i="10" s="1"/>
  <c r="H15" i="2"/>
  <c r="D10" i="6"/>
  <c r="E18" i="2"/>
  <c r="F18" i="2" s="1"/>
  <c r="D10" i="2"/>
  <c r="E10" i="6"/>
  <c r="BI15" i="16"/>
  <c r="AN16" i="11"/>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T13" i="17"/>
  <c r="BH18" i="16"/>
  <c r="BG18" i="16"/>
  <c r="F18" i="12"/>
  <c r="AP18" i="21"/>
  <c r="D18" i="14"/>
  <c r="G18" i="11"/>
  <c r="W13" i="11"/>
  <c r="F13" i="12" s="1"/>
  <c r="D18" i="3"/>
  <c r="E18" i="3" s="1"/>
  <c r="U12" i="17"/>
  <c r="W13" i="16"/>
  <c r="M19" i="8"/>
  <c r="F19" i="7" s="1"/>
  <c r="F18" i="7"/>
  <c r="AX19" i="21"/>
  <c r="BD21" i="21"/>
  <c r="AT18" i="21"/>
  <c r="AA18" i="21"/>
  <c r="BD19" i="21"/>
  <c r="AZ21" i="21"/>
  <c r="AC18" i="20"/>
  <c r="AC21" i="20" s="1"/>
  <c r="AX18" i="20"/>
  <c r="J18" i="20"/>
  <c r="J21" i="20" s="1"/>
  <c r="O18" i="20"/>
  <c r="O19" i="20" s="1"/>
  <c r="AK18" i="20"/>
  <c r="AK19" i="20" s="1"/>
  <c r="BB21" i="20"/>
  <c r="AN18" i="20"/>
  <c r="AN19" i="20" s="1"/>
  <c r="AE18" i="20"/>
  <c r="AE21" i="20" s="1"/>
  <c r="AV18" i="20"/>
  <c r="AV19" i="20" s="1"/>
  <c r="AF18" i="20"/>
  <c r="AF19" i="20" s="1"/>
  <c r="AB18" i="20"/>
  <c r="AB19" i="20" s="1"/>
  <c r="AJ18" i="20"/>
  <c r="AJ19" i="20" s="1"/>
  <c r="P18" i="20"/>
  <c r="P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Q18" i="11" s="1"/>
  <c r="AZ10" i="11"/>
  <c r="AT18" i="11"/>
  <c r="M13" i="11"/>
  <c r="L13" i="11"/>
  <c r="AP16" i="11"/>
  <c r="Z18" i="11"/>
  <c r="AB13" i="11"/>
  <c r="W18" i="11"/>
  <c r="Y16" i="11"/>
  <c r="X18" i="11"/>
  <c r="AC9" i="11"/>
  <c r="H13" i="11"/>
  <c r="E13" i="12" s="1"/>
  <c r="S18" i="11"/>
  <c r="H18" i="11"/>
  <c r="X13" i="11"/>
  <c r="AA18" i="11"/>
  <c r="M18" i="11"/>
  <c r="C16" i="14"/>
  <c r="K16" i="14" s="1"/>
  <c r="F18" i="3"/>
  <c r="G18" i="3" s="1"/>
  <c r="H13" i="3"/>
  <c r="AJ18" i="11"/>
  <c r="D18" i="5"/>
  <c r="F16" i="2"/>
  <c r="H16" i="2"/>
  <c r="J16" i="2"/>
  <c r="F13" i="3"/>
  <c r="E9" i="3"/>
  <c r="G9" i="3"/>
  <c r="W18" i="17"/>
  <c r="X18" i="17" s="1"/>
  <c r="AU18" i="11"/>
  <c r="CK19" i="8"/>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AF19" i="13"/>
  <c r="P19" i="13"/>
  <c r="T16" i="20"/>
  <c r="S18" i="20"/>
  <c r="S19" i="20" s="1"/>
  <c r="W18" i="20"/>
  <c r="X18" i="20" s="1"/>
  <c r="L19" i="19"/>
  <c r="J19" i="19"/>
  <c r="M19" i="20"/>
  <c r="AD18" i="20"/>
  <c r="AD21" i="20" s="1"/>
  <c r="AI18" i="20"/>
  <c r="AI19" i="20" s="1"/>
  <c r="F16" i="20"/>
  <c r="AS16" i="20" s="1"/>
  <c r="K19" i="19"/>
  <c r="O19" i="19"/>
  <c r="W19" i="19"/>
  <c r="AE19" i="19"/>
  <c r="BH19" i="19"/>
  <c r="BC21" i="20"/>
  <c r="AC13" i="21"/>
  <c r="AC21" i="21" s="1"/>
  <c r="Q13" i="21"/>
  <c r="Q19" i="21" s="1"/>
  <c r="BE21" i="21"/>
  <c r="AS13" i="20"/>
  <c r="I18" i="20"/>
  <c r="I19" i="20" s="1"/>
  <c r="BC19" i="21"/>
  <c r="AZ19" i="19"/>
  <c r="AD13" i="21"/>
  <c r="AD19" i="21" s="1"/>
  <c r="Z13" i="21"/>
  <c r="V13" i="21"/>
  <c r="V19" i="21" s="1"/>
  <c r="AJ13" i="21"/>
  <c r="Q19" i="20"/>
  <c r="CI19" i="19"/>
  <c r="AR19" i="20" s="1"/>
  <c r="EN19" i="19"/>
  <c r="AM18" i="20"/>
  <c r="AM21" i="20" s="1"/>
  <c r="EQ19" i="19"/>
  <c r="U18" i="20"/>
  <c r="AH19" i="19"/>
  <c r="AH18" i="20"/>
  <c r="AH19" i="20" s="1"/>
  <c r="AO21" i="21"/>
  <c r="BG18" i="19"/>
  <c r="I13" i="21"/>
  <c r="I19" i="21" s="1"/>
  <c r="EO19" i="19"/>
  <c r="C11" i="14"/>
  <c r="K11" i="14" s="1"/>
  <c r="S13" i="21"/>
  <c r="S19" i="21" s="1"/>
  <c r="AE18" i="11"/>
  <c r="AJ13" i="11"/>
  <c r="F18" i="14"/>
  <c r="AP19" i="16"/>
  <c r="E18" i="14"/>
  <c r="F13" i="14"/>
  <c r="J19" i="8"/>
  <c r="C9" i="14"/>
  <c r="AQ9" i="11"/>
  <c r="BC18" i="8"/>
  <c r="AZ18" i="8"/>
  <c r="BB19" i="13"/>
  <c r="AQ16" i="17"/>
  <c r="AG18" i="11"/>
  <c r="AK18" i="11"/>
  <c r="E13" i="14"/>
  <c r="D19" i="12"/>
  <c r="I17" i="12"/>
  <c r="AY19" i="8"/>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R13" i="14"/>
  <c r="Y13" i="14"/>
  <c r="AA13" i="14"/>
  <c r="W13" i="14"/>
  <c r="P13" i="14"/>
  <c r="Q13" i="14"/>
  <c r="X13" i="14"/>
  <c r="AC13" i="14"/>
  <c r="AB13" i="14"/>
  <c r="V16" i="11"/>
  <c r="U18" i="11"/>
  <c r="AA18" i="14"/>
  <c r="S18" i="14"/>
  <c r="W18" i="14"/>
  <c r="H18" i="14"/>
  <c r="Z18" i="14"/>
  <c r="X18" i="14"/>
  <c r="AD18" i="14"/>
  <c r="Q18" i="14"/>
  <c r="P18" i="14"/>
  <c r="Y18" i="14"/>
  <c r="AC18" i="14"/>
  <c r="AB18" i="14"/>
  <c r="M18" i="14"/>
  <c r="U21" i="11"/>
  <c r="U13" i="11"/>
  <c r="V13" i="11" s="1"/>
  <c r="U19" i="11"/>
  <c r="V19" i="11" s="1"/>
  <c r="V10" i="11"/>
  <c r="V12" i="11"/>
  <c r="O17" i="11"/>
  <c r="O10" i="11"/>
  <c r="U17" i="11"/>
  <c r="G19" i="7" l="1"/>
  <c r="J17" i="12"/>
  <c r="J18" i="2"/>
  <c r="H21" i="12"/>
  <c r="J12" i="12"/>
  <c r="I10" i="12"/>
  <c r="K10" i="12"/>
  <c r="F13" i="2"/>
  <c r="J13" i="2"/>
  <c r="H13" i="2"/>
  <c r="S18" i="16"/>
  <c r="S19" i="16" s="1"/>
  <c r="S13" i="14"/>
  <c r="BF13" i="8"/>
  <c r="BE13" i="8"/>
  <c r="J16" i="12"/>
  <c r="P12" i="11"/>
  <c r="F18" i="17"/>
  <c r="U13" i="17"/>
  <c r="X19" i="21"/>
  <c r="BJ18" i="11"/>
  <c r="BH18" i="11"/>
  <c r="P17" i="11"/>
  <c r="BV13" i="16"/>
  <c r="K12" i="12"/>
  <c r="AB21" i="21"/>
  <c r="BU21" i="17"/>
  <c r="BW21" i="20"/>
  <c r="Q9" i="11"/>
  <c r="P15" i="11"/>
  <c r="Q16" i="11"/>
  <c r="R19" i="21"/>
  <c r="BH13" i="11"/>
  <c r="BI18" i="11"/>
  <c r="P9" i="11"/>
  <c r="BL18" i="11"/>
  <c r="P16" i="11"/>
  <c r="BF18" i="11"/>
  <c r="BK19" i="11"/>
  <c r="R19" i="20"/>
  <c r="F13" i="21"/>
  <c r="F19" i="21" s="1"/>
  <c r="BD13" i="13"/>
  <c r="K19" i="2"/>
  <c r="Q12" i="11"/>
  <c r="G21" i="20"/>
  <c r="BF18" i="13"/>
  <c r="J21" i="17"/>
  <c r="E19" i="17"/>
  <c r="G21" i="11"/>
  <c r="B13" i="6"/>
  <c r="AL13" i="11"/>
  <c r="V17" i="11"/>
  <c r="AK19" i="11"/>
  <c r="I21" i="11"/>
  <c r="G20" i="21"/>
  <c r="AY21" i="21"/>
  <c r="BG19" i="19"/>
  <c r="AP19" i="20"/>
  <c r="AW19" i="21"/>
  <c r="O19" i="16"/>
  <c r="AH19" i="11"/>
  <c r="AG21" i="17"/>
  <c r="I15" i="12"/>
  <c r="Z19" i="11"/>
  <c r="F18" i="11"/>
  <c r="D21" i="12"/>
  <c r="AI19" i="11"/>
  <c r="M19" i="2"/>
  <c r="AM13" i="11"/>
  <c r="C13" i="6"/>
  <c r="AO18" i="11"/>
  <c r="E18" i="6"/>
  <c r="AO13" i="17"/>
  <c r="AL19" i="21"/>
  <c r="G21" i="21"/>
  <c r="BK19" i="16"/>
  <c r="AK19" i="16"/>
  <c r="G19" i="16"/>
  <c r="AO19" i="16"/>
  <c r="K19" i="17"/>
  <c r="T18" i="11"/>
  <c r="BG21" i="16"/>
  <c r="AE19" i="11"/>
  <c r="AN21" i="21"/>
  <c r="G20" i="11"/>
  <c r="G19" i="11"/>
  <c r="D19" i="14"/>
  <c r="AG21" i="11"/>
  <c r="AJ21" i="11"/>
  <c r="Y18" i="11"/>
  <c r="L19" i="11"/>
  <c r="AF19" i="11"/>
  <c r="AA19" i="11"/>
  <c r="Y13" i="11"/>
  <c r="AN18" i="11"/>
  <c r="N19" i="2"/>
  <c r="AS19" i="21"/>
  <c r="AU19" i="21"/>
  <c r="BE18" i="13"/>
  <c r="BD18" i="13"/>
  <c r="AL18" i="11"/>
  <c r="AI21" i="11"/>
  <c r="AU21" i="21"/>
  <c r="C19" i="2"/>
  <c r="R19" i="11"/>
  <c r="AP13" i="11"/>
  <c r="D19" i="5"/>
  <c r="BI18" i="16"/>
  <c r="AN21" i="17"/>
  <c r="AO18" i="17"/>
  <c r="E19" i="2"/>
  <c r="I19" i="2"/>
  <c r="AM18" i="11"/>
  <c r="C18" i="6"/>
  <c r="F18" i="20"/>
  <c r="F21" i="20" s="1"/>
  <c r="AK21" i="20"/>
  <c r="AO21" i="20"/>
  <c r="AT19" i="20"/>
  <c r="J19" i="20"/>
  <c r="AQ19" i="21"/>
  <c r="AO19" i="20"/>
  <c r="G19" i="20"/>
  <c r="AX21" i="20"/>
  <c r="AN21" i="20"/>
  <c r="AJ21" i="17"/>
  <c r="AU20" i="17"/>
  <c r="AW20" i="11"/>
  <c r="AX20" i="21"/>
  <c r="BD19" i="16" l="1"/>
  <c r="H20" i="17"/>
  <c r="AV20" i="21"/>
  <c r="BP20" i="16"/>
  <c r="BR20" i="16"/>
  <c r="AZ19" i="13" l="1"/>
  <c r="BA19" i="13"/>
  <c r="BF19" i="13" s="1"/>
  <c r="BG13" i="13"/>
  <c r="O19" i="11"/>
  <c r="O13" i="11"/>
  <c r="AY19" i="21"/>
  <c r="H19" i="11"/>
  <c r="J19" i="11"/>
  <c r="AG19" i="11"/>
  <c r="D19" i="2"/>
  <c r="K16" i="12"/>
  <c r="BE18" i="8"/>
  <c r="I18" i="7" s="1"/>
  <c r="F19" i="14"/>
  <c r="E21" i="12"/>
  <c r="X19" i="11"/>
  <c r="AB19" i="11"/>
  <c r="AC13" i="11"/>
  <c r="W19" i="11"/>
  <c r="M19" i="11"/>
  <c r="B19" i="5"/>
  <c r="B18" i="6"/>
  <c r="U19" i="16"/>
  <c r="BF21" i="16"/>
  <c r="AC19" i="20"/>
  <c r="V20" i="20"/>
  <c r="R20" i="16"/>
  <c r="O20" i="17"/>
  <c r="T20" i="11"/>
  <c r="AN20" i="21"/>
  <c r="AS20" i="17"/>
  <c r="I20" i="16"/>
  <c r="AW20" i="21"/>
  <c r="Q20" i="16"/>
  <c r="AC20" i="17"/>
  <c r="BI20" i="16"/>
  <c r="AD20" i="11"/>
  <c r="BD20" i="16"/>
  <c r="Z20" i="17"/>
  <c r="AE20" i="11"/>
  <c r="AM20" i="17"/>
  <c r="I20" i="17"/>
  <c r="AU20" i="11"/>
  <c r="AP20" i="17"/>
  <c r="BM20" i="16"/>
  <c r="AE20" i="17"/>
  <c r="N20" i="11"/>
  <c r="AD20" i="16"/>
  <c r="AR20" i="11"/>
  <c r="O20" i="11"/>
  <c r="L20" i="17"/>
  <c r="K20" i="17"/>
  <c r="M20" i="11"/>
  <c r="U20" i="11"/>
  <c r="H20" i="16"/>
  <c r="AM20" i="16"/>
  <c r="BS20" i="16"/>
  <c r="AR20" i="16"/>
  <c r="L20" i="21"/>
  <c r="AK20" i="16"/>
  <c r="J20" i="16"/>
  <c r="U20" i="21"/>
  <c r="AB20" i="11"/>
  <c r="Z20" i="21"/>
  <c r="Q20" i="17"/>
  <c r="AF20" i="11"/>
  <c r="AG20" i="21"/>
  <c r="P20" i="17"/>
  <c r="W20" i="17"/>
  <c r="Q20" i="21"/>
  <c r="AN20" i="11"/>
  <c r="X20" i="11"/>
  <c r="P20" i="16"/>
  <c r="K20" i="12"/>
  <c r="R20" i="21"/>
  <c r="AO20" i="17"/>
  <c r="AK20" i="17"/>
  <c r="AK20" i="21"/>
  <c r="AV20" i="17"/>
  <c r="T20" i="17"/>
  <c r="X20" i="21"/>
  <c r="BK20" i="16"/>
  <c r="S20" i="17"/>
  <c r="AO20" i="16"/>
  <c r="AB20" i="17"/>
  <c r="V20" i="21"/>
  <c r="I20" i="11"/>
  <c r="AT20" i="20"/>
  <c r="AM20" i="21"/>
  <c r="AH20" i="21"/>
  <c r="AS20" i="21"/>
  <c r="U20" i="16"/>
  <c r="AI20" i="17"/>
  <c r="BE20" i="21"/>
  <c r="H20" i="11"/>
  <c r="V20" i="17"/>
  <c r="AU20" i="16"/>
  <c r="L20" i="16"/>
  <c r="I20" i="12"/>
  <c r="AY20" i="21"/>
  <c r="BC20" i="21"/>
  <c r="AD20" i="21"/>
  <c r="AL20" i="16"/>
  <c r="AH20" i="17"/>
  <c r="AP20" i="16"/>
  <c r="U20" i="20"/>
  <c r="E20" i="12"/>
  <c r="O20" i="16"/>
  <c r="AE20" i="21"/>
  <c r="H20" i="21"/>
  <c r="J20" i="11"/>
  <c r="AJ20" i="17"/>
  <c r="M20" i="21"/>
  <c r="E20" i="16"/>
  <c r="AJ20" i="16"/>
  <c r="F20" i="16"/>
  <c r="E20" i="17"/>
  <c r="AB20" i="16"/>
  <c r="AC20" i="11"/>
  <c r="Y20" i="11"/>
  <c r="AE20" i="16"/>
  <c r="Y20" i="17"/>
  <c r="AA20" i="16"/>
  <c r="AH20" i="11"/>
  <c r="AY20" i="16"/>
  <c r="AH20" i="16"/>
  <c r="BC20" i="16"/>
  <c r="M20" i="17"/>
  <c r="AK20" i="11"/>
  <c r="D20" i="12"/>
  <c r="R20" i="17"/>
  <c r="BG20" i="16"/>
  <c r="W20" i="16"/>
  <c r="AA20" i="17"/>
  <c r="AV20" i="16"/>
  <c r="AJ20" i="11"/>
  <c r="R20" i="11"/>
  <c r="AS20" i="16"/>
  <c r="AG20" i="16"/>
  <c r="AF20" i="21"/>
  <c r="J20" i="21"/>
  <c r="AO20" i="11"/>
  <c r="AZ20" i="11"/>
  <c r="L20" i="11"/>
  <c r="AL20" i="21"/>
  <c r="AU20" i="21"/>
  <c r="S20" i="11"/>
  <c r="AS20" i="11"/>
  <c r="J20" i="12"/>
  <c r="AO20" i="21"/>
  <c r="AA20" i="11"/>
  <c r="W20" i="11"/>
  <c r="X20" i="16"/>
  <c r="AT20" i="16"/>
  <c r="AA20" i="21"/>
  <c r="H20" i="12"/>
  <c r="AR20" i="21"/>
  <c r="BN20" i="16"/>
  <c r="AW20" i="17"/>
  <c r="V20" i="11"/>
  <c r="U20" i="17"/>
  <c r="T20" i="16"/>
  <c r="AF20" i="17"/>
  <c r="X20" i="17"/>
  <c r="AL20" i="11"/>
  <c r="F20" i="12"/>
  <c r="E20" i="21"/>
  <c r="BD20" i="21"/>
  <c r="Y20" i="16"/>
  <c r="AJ20" i="21"/>
  <c r="N20" i="21"/>
  <c r="AI20" i="21"/>
  <c r="AR20" i="17"/>
  <c r="BO20" i="16"/>
  <c r="BA20" i="16"/>
  <c r="O20" i="21"/>
  <c r="K20" i="16"/>
  <c r="J20" i="17"/>
  <c r="AR20" i="20"/>
  <c r="F20" i="21"/>
  <c r="P20" i="21"/>
  <c r="AB20" i="21"/>
  <c r="AV20" i="11"/>
  <c r="P20" i="11"/>
  <c r="BJ20" i="16"/>
  <c r="E20" i="11"/>
  <c r="F20" i="11"/>
  <c r="BB20" i="16"/>
  <c r="N20" i="17"/>
  <c r="AF20" i="16"/>
  <c r="K20" i="11"/>
  <c r="I20" i="21"/>
  <c r="Z20" i="11"/>
  <c r="AG20" i="11"/>
  <c r="AL20" i="17"/>
  <c r="AC20" i="21"/>
  <c r="S20" i="21"/>
  <c r="AT20" i="11"/>
  <c r="S20" i="16"/>
  <c r="AY20" i="11"/>
  <c r="AC20" i="16"/>
  <c r="AP20" i="21"/>
  <c r="V20" i="16"/>
  <c r="Q20" i="11"/>
  <c r="AM20" i="11"/>
  <c r="BQ20" i="16"/>
  <c r="AW20" i="16"/>
  <c r="AD20" i="17"/>
  <c r="AI20" i="11"/>
  <c r="G20" i="12"/>
  <c r="AZ20" i="16"/>
  <c r="Z20" i="16"/>
  <c r="AI20" i="16"/>
  <c r="AT20" i="17"/>
  <c r="AN20" i="16"/>
  <c r="BE20" i="16"/>
  <c r="AG20" i="17"/>
  <c r="M20" i="16"/>
  <c r="BF20" i="16"/>
  <c r="AQ20" i="16"/>
  <c r="AX20" i="16"/>
  <c r="Y20" i="21"/>
  <c r="N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F20" i="17"/>
  <c r="O12" i="11"/>
  <c r="BH20" i="16"/>
  <c r="AN20" i="17"/>
  <c r="K20" i="21"/>
  <c r="V19" i="16" l="1"/>
  <c r="BM19" i="11"/>
  <c r="BG19" i="11"/>
  <c r="BV19" i="16"/>
  <c r="BV21" i="16"/>
  <c r="Q13" i="11"/>
  <c r="BD19" i="8"/>
  <c r="AO21" i="11"/>
  <c r="AQ20" i="17"/>
  <c r="F21" i="11"/>
  <c r="BG19" i="8"/>
  <c r="G19" i="3"/>
  <c r="H19" i="2"/>
  <c r="I19" i="3"/>
  <c r="J19" i="2"/>
  <c r="S19" i="17"/>
  <c r="F19" i="11"/>
  <c r="AQ19" i="11" s="1"/>
  <c r="AQ13" i="11"/>
  <c r="AQ21" i="11" s="1"/>
  <c r="F19" i="17"/>
  <c r="AQ19" i="17" s="1"/>
  <c r="F21" i="16"/>
  <c r="E19" i="6"/>
  <c r="C19" i="6"/>
  <c r="AO19" i="11"/>
  <c r="AM19" i="11"/>
  <c r="B19" i="6"/>
  <c r="AL19" i="11"/>
  <c r="BL18" i="16"/>
  <c r="F19" i="16"/>
  <c r="E21" i="21"/>
  <c r="E19" i="21"/>
  <c r="AW21" i="20"/>
  <c r="AV21" i="11"/>
  <c r="C19" i="14"/>
  <c r="BF19" i="8"/>
  <c r="Z19" i="21"/>
  <c r="M19" i="16"/>
  <c r="AM21" i="11"/>
  <c r="U19" i="20"/>
  <c r="BT21" i="16"/>
  <c r="BT19" i="16"/>
  <c r="E19" i="3"/>
  <c r="AN19" i="11"/>
  <c r="D19" i="6"/>
  <c r="J19" i="21"/>
  <c r="AT19" i="21" s="1"/>
  <c r="BE19" i="8"/>
  <c r="J18" i="12"/>
  <c r="K13" i="7"/>
  <c r="K13" i="12"/>
  <c r="N19" i="11"/>
  <c r="AA21" i="21"/>
  <c r="Z21" i="21"/>
  <c r="I21" i="12"/>
  <c r="K18" i="7"/>
  <c r="K18" i="12"/>
  <c r="E21" i="16"/>
  <c r="H19" i="7" l="1"/>
  <c r="K19" i="12"/>
  <c r="AS21" i="20"/>
  <c r="AR21" i="20" s="1"/>
  <c r="K19" i="20"/>
  <c r="AS19" i="20" s="1"/>
  <c r="AV19" i="11"/>
  <c r="S19" i="11"/>
  <c r="T19" i="11" s="1"/>
  <c r="I19" i="7"/>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A19" i="16"/>
  <c r="AA21" i="16"/>
  <c r="E19" i="11"/>
  <c r="AP21" i="11" l="1"/>
  <c r="AU21" i="11"/>
  <c r="AU19" i="11"/>
  <c r="AP19" i="11" s="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<sst xmlns="http://schemas.openxmlformats.org/spreadsheetml/2006/main" count="2102" uniqueCount="918">
  <si>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</si>
  <si>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</si>
  <si>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</si>
  <si>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</si>
  <si>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</si>
  <si>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</si>
  <si>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</si>
  <si>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</si>
  <si>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</si>
  <si>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</si>
  <si>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</si>
  <si>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</si>
  <si>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</si>
  <si>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</si>
  <si>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</si>
  <si>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</si>
  <si>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</si>
  <si>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</si>
  <si>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</si>
  <si>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</si>
  <si>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</si>
  <si>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</si>
  <si>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</si>
  <si>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</si>
  <si>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</si>
  <si>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</si>
  <si>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</si>
  <si>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</si>
  <si>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</si>
  <si>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</si>
  <si>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</si>
  <si>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</si>
  <si>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</si>
  <si>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</si>
  <si>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</si>
  <si>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</si>
  <si>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</si>
  <si>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</si>
  <si>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</si>
  <si>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</si>
  <si>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</si>
  <si>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</si>
  <si>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</si>
  <si>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</si>
  <si>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</si>
  <si>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</si>
  <si>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</si>
  <si>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</si>
  <si>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</si>
  <si>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</si>
  <si>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</si>
  <si>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</si>
  <si>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</si>
  <si>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</si>
  <si>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</si>
  <si>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</si>
  <si>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</si>
  <si>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</si>
  <si>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</si>
  <si>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</si>
  <si>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</si>
  <si>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</si>
  <si>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</si>
  <si>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</si>
  <si>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</si>
  <si>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</si>
  <si>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</si>
  <si>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</si>
  <si>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</si>
  <si>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</si>
  <si>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</si>
  <si>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</si>
  <si>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</si>
  <si>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</si>
  <si>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</si>
  <si>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</si>
  <si>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</si>
  <si>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</si>
  <si>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</si>
  <si>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</si>
  <si>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</si>
  <si>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</si>
  <si>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</si>
  <si>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</si>
  <si>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</si>
  <si>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</si>
  <si>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</si>
  <si>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</si>
  <si>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</si>
  <si>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</si>
  <si>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</si>
  <si>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</si>
  <si>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</si>
  <si>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</si>
  <si>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</si>
  <si>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</si>
  <si>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</si>
  <si>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</si>
  <si>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</si>
  <si>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</si>
  <si>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</si>
  <si>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</si>
  <si>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</si>
  <si>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</si>
  <si>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</si>
  <si>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</si>
  <si>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</si>
  <si>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</si>
  <si>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</si>
  <si>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</si>
  <si>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</si>
  <si>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</si>
  <si>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</si>
  <si>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</si>
  <si>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</si>
  <si>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</si>
  <si>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</si>
  <si>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</si>
  <si>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</si>
  <si>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</si>
  <si>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</si>
  <si>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</si>
  <si>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</si>
  <si>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</si>
  <si>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</si>
  <si>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</si>
  <si>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</si>
  <si>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</si>
  <si>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</si>
  <si>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</si>
  <si>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</si>
  <si>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</si>
  <si>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</si>
  <si>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</si>
  <si>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</si>
  <si>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</si>
  <si>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</si>
  <si>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</si>
  <si>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</si>
  <si>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</si>
  <si>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</si>
  <si>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</si>
  <si>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</si>
  <si>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</si>
  <si>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</si>
  <si>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</si>
  <si>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</si>
  <si>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</si>
  <si>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</si>
  <si>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</si>
  <si>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</si>
  <si>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</si>
  <si>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</si>
  <si>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</si>
  <si>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</si>
  <si>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</si>
  <si>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</si>
  <si>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</si>
  <si>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</si>
  <si>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</si>
  <si>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</si>
  <si>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</si>
  <si>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</si>
  <si>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</si>
  <si>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</si>
  <si>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</si>
  <si>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</si>
  <si>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</si>
  <si>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</si>
  <si>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</si>
  <si>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</si>
  <si>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</si>
  <si>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</si>
  <si>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</si>
  <si>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</si>
  <si>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</si>
  <si>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</si>
  <si>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</si>
  <si>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</si>
  <si>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</si>
  <si>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</si>
  <si>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</si>
  <si>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</si>
  <si>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</si>
  <si>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</si>
  <si>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</si>
  <si>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</si>
  <si>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</si>
  <si>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</si>
  <si>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</si>
  <si>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</si>
  <si>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</si>
  <si>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</si>
  <si>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</si>
  <si>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</si>
  <si>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</si>
  <si>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</si>
  <si>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</si>
  <si>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</si>
  <si>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</si>
  <si>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</si>
  <si>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</si>
  <si>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</si>
  <si>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</si>
  <si>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</si>
  <si>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</si>
  <si>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</si>
  <si>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</si>
  <si>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</si>
  <si>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</si>
  <si>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</si>
  <si>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</si>
  <si>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</si>
  <si>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</si>
  <si>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</si>
  <si>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</si>
  <si>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</si>
  <si>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</si>
  <si>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</si>
  <si>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</si>
  <si>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</si>
  <si>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</si>
  <si>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</si>
  <si>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</si>
  <si>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</si>
  <si>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</si>
  <si>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</si>
  <si>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</si>
  <si>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</si>
  <si>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</si>
  <si>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</si>
  <si>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</si>
  <si>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</si>
  <si>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</si>
  <si>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</si>
  <si>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</si>
  <si>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</si>
  <si>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</si>
  <si>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</si>
  <si>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</si>
  <si>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</si>
  <si>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</si>
  <si>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</si>
  <si>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</si>
  <si>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</si>
  <si>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</si>
  <si>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</si>
  <si>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</si>
  <si>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</si>
  <si>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</si>
  <si>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</si>
  <si>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</si>
  <si>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</si>
  <si>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</si>
  <si>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</si>
  <si>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</si>
  <si>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</si>
  <si>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</si>
  <si>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</si>
  <si>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</si>
  <si>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</si>
  <si>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</si>
  <si>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</si>
  <si>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</si>
  <si>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</si>
  <si>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</si>
  <si>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</si>
  <si>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</si>
  <si>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</si>
  <si>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</si>
  <si>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</si>
  <si>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</si>
  <si>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</si>
  <si>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</si>
  <si>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</si>
  <si>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</si>
  <si>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</si>
  <si>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</si>
  <si>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</si>
  <si>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</si>
  <si>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</si>
  <si>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</si>
  <si>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</si>
  <si>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</si>
  <si>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</si>
  <si>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</si>
  <si>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</si>
  <si>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</si>
  <si>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</si>
  <si>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</si>
  <si>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</si>
  <si>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</si>
  <si>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</si>
  <si>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</si>
  <si>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</si>
  <si>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</si>
  <si>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</si>
  <si>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</si>
  <si>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</si>
  <si>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</si>
  <si>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</si>
  <si>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</si>
  <si>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</si>
  <si>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</si>
  <si>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</si>
  <si>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</si>
  <si>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</si>
  <si>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</si>
  <si>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</si>
  <si>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</si>
  <si>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</si>
  <si>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</si>
  <si>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</si>
  <si>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</si>
  <si>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</si>
  <si>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</si>
  <si>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</si>
  <si>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</si>
  <si>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</si>
  <si>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</si>
  <si>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</si>
  <si>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</si>
  <si>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</si>
  <si>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</si>
  <si>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</si>
  <si>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</si>
  <si>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</si>
  <si>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</si>
  <si>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</si>
  <si>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</si>
  <si>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</si>
  <si>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</si>
  <si>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</si>
  <si>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</si>
  <si>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</si>
  <si>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</si>
  <si>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</si>
  <si>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</si>
  <si>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</si>
  <si>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</si>
  <si>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</si>
  <si>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</si>
  <si>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</si>
  <si>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</si>
  <si>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</si>
  <si>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</si>
  <si>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</si>
  <si>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</si>
  <si>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</si>
  <si>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</si>
  <si>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</si>
  <si>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</si>
  <si>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</si>
  <si>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</si>
  <si>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</si>
  <si>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</si>
  <si>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</si>
  <si>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</si>
  <si>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</si>
  <si>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</si>
  <si>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</si>
  <si>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</si>
  <si>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</si>
  <si>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</si>
  <si>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</si>
  <si>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</si>
  <si>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</si>
  <si>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</si>
  <si>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</si>
  <si>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</si>
  <si>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</si>
  <si>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</si>
  <si>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</si>
  <si>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</si>
  <si>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</si>
  <si>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</si>
  <si>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</si>
  <si>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</si>
  <si>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</si>
  <si>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</si>
  <si>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</si>
  <si>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</si>
  <si>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</si>
  <si>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</si>
  <si>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</si>
  <si>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</si>
  <si>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</si>
  <si>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</si>
  <si>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</si>
  <si>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</si>
  <si>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</si>
  <si>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</si>
  <si>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</si>
  <si>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</si>
  <si>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</si>
  <si>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</si>
  <si>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</si>
  <si>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</si>
  <si>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</si>
  <si>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</si>
  <si>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</si>
  <si>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</si>
  <si>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</si>
  <si>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</si>
  <si>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</si>
  <si>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</si>
  <si>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</si>
  <si>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</si>
  <si>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</si>
  <si>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</si>
  <si>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</si>
  <si>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</si>
  <si>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</si>
  <si>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</si>
  <si>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</si>
  <si>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</si>
  <si>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</si>
  <si>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</si>
  <si>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</si>
  <si>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</si>
  <si>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</si>
  <si>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</si>
  <si>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</si>
  <si>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</si>
  <si>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</si>
  <si>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</si>
  <si>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</si>
  <si>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</si>
  <si>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</si>
  <si>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</si>
  <si>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</si>
  <si>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</si>
  <si>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</si>
  <si>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</si>
  <si>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</si>
  <si>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</si>
  <si>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</si>
  <si>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</si>
  <si>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</si>
  <si>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</si>
  <si>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</si>
  <si>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</si>
  <si>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</si>
  <si>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</si>
  <si>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</si>
  <si>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</si>
  <si>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</si>
  <si>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</si>
  <si>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</si>
  <si>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</si>
  <si>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</si>
  <si>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</si>
  <si>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</si>
  <si>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</si>
  <si>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</si>
  <si>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</si>
  <si>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</si>
  <si>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</si>
  <si>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</si>
  <si>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</si>
  <si>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</si>
  <si>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</si>
  <si>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</si>
  <si>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</si>
  <si>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</si>
  <si>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</si>
  <si>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</si>
  <si>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</si>
  <si>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</si>
  <si>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</si>
  <si>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</si>
  <si>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</si>
  <si>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</si>
  <si>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</si>
  <si>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</si>
  <si>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</si>
  <si>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</si>
  <si>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</si>
  <si>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</si>
  <si>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</si>
  <si>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</si>
  <si>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</si>
  <si>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</si>
  <si>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</si>
  <si>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</si>
  <si>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</si>
  <si>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</si>
  <si>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</si>
  <si>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</si>
  <si>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</si>
  <si>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</si>
  <si>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</si>
  <si>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</si>
  <si>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</si>
  <si>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</si>
  <si>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</si>
  <si>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</si>
  <si>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</si>
  <si>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</si>
  <si>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</si>
  <si>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</si>
  <si>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</si>
  <si>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</si>
  <si>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</si>
  <si>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</si>
  <si>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</si>
  <si>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</si>
  <si>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</si>
  <si>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</si>
  <si>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</si>
  <si>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</si>
  <si>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</si>
  <si>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</si>
  <si>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</si>
  <si>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</si>
  <si>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</si>
  <si>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</si>
  <si>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</si>
  <si>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</si>
  <si>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</si>
  <si>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</si>
  <si>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</si>
  <si>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</si>
  <si>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</si>
  <si>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</si>
  <si>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</si>
  <si>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</si>
  <si>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</si>
  <si>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</si>
  <si>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</si>
  <si>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</si>
  <si>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</si>
  <si>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</si>
  <si>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</si>
  <si>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</si>
  <si>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</si>
  <si>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</si>
  <si>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</si>
  <si>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</si>
  <si>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</si>
  <si>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</si>
  <si>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</si>
  <si>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</si>
  <si>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</si>
  <si>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</si>
  <si>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</si>
  <si>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</si>
  <si>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</si>
  <si>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</si>
  <si>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</si>
  <si>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</si>
  <si>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</si>
  <si>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</si>
  <si>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</si>
  <si>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</si>
  <si>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</si>
  <si>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</si>
  <si>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</si>
  <si>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</si>
  <si>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</si>
  <si>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</si>
  <si>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</si>
  <si>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</si>
  <si>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</si>
  <si>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</si>
  <si>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</si>
  <si>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</si>
  <si>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</si>
  <si>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</si>
  <si>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</si>
  <si>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</si>
  <si>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</si>
  <si>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</si>
  <si>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</si>
  <si>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</si>
  <si>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</si>
  <si>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</si>
  <si>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</si>
  <si>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</si>
  <si>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</si>
  <si>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</si>
  <si>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</si>
  <si>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</si>
  <si>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</si>
  <si>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</si>
  <si>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</si>
  <si>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</si>
  <si>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</si>
  <si>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</si>
  <si>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</si>
  <si>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</si>
  <si>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</si>
  <si>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</si>
  <si>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</si>
  <si>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</si>
  <si>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</si>
  <si>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</si>
  <si>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</si>
  <si>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</si>
  <si>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</si>
  <si>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</si>
  <si>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</si>
  <si>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</si>
  <si>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</si>
  <si>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</si>
  <si>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</si>
  <si>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</si>
  <si>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</si>
  <si>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</si>
  <si>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</si>
  <si>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</si>
  <si>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</si>
  <si>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</si>
  <si>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</si>
  <si>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</si>
  <si>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</si>
  <si>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</si>
  <si>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</si>
  <si>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</si>
  <si>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</si>
  <si>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</si>
  <si>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</si>
  <si>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</si>
  <si>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</si>
  <si>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</si>
  <si>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</si>
  <si>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</si>
  <si>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</si>
  <si>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</si>
  <si>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</si>
  <si>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</si>
  <si>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</si>
  <si>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</si>
  <si>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</si>
  <si>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</si>
  <si>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</si>
  <si>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</si>
  <si>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</si>
  <si>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</si>
  <si>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</si>
  <si>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</si>
  <si>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</si>
  <si>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</si>
  <si>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</si>
  <si>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</si>
  <si>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</si>
  <si>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</si>
  <si>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</si>
  <si>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</si>
  <si>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</si>
  <si>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</si>
  <si>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</si>
  <si>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</si>
  <si>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</si>
  <si>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</si>
  <si>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</si>
  <si>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</si>
  <si>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</si>
  <si>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</si>
  <si>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</si>
  <si>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</si>
  <si>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</si>
  <si>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</si>
  <si>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</si>
  <si>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</si>
  <si>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</si>
  <si>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</si>
  <si>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</si>
  <si>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</si>
  <si>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</si>
  <si>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</si>
  <si>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</si>
  <si>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</si>
  <si>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</si>
  <si>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</si>
  <si>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</si>
  <si>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</si>
  <si>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</si>
  <si>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</si>
  <si>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</si>
  <si>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</si>
  <si>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</si>
  <si>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</si>
  <si>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</si>
  <si>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</si>
  <si>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</si>
  <si>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</si>
  <si>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</si>
  <si>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</si>
  <si>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</si>
  <si>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</si>
  <si>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</si>
  <si>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</si>
  <si>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</si>
  <si>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</si>
  <si>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</si>
  <si>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</si>
  <si>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</si>
  <si>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</si>
  <si>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</si>
  <si>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</si>
  <si>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</si>
  <si>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</si>
  <si>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</si>
  <si>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</si>
  <si>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</si>
  <si>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</si>
  <si>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</si>
  <si>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</si>
  <si>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</si>
  <si>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</si>
  <si>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</si>
  <si>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</si>
  <si>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</si>
  <si>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</si>
  <si>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</si>
  <si>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</si>
  <si>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</si>
  <si>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</si>
  <si>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</si>
  <si>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</si>
  <si>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</si>
  <si>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</si>
  <si>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</si>
  <si>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</si>
  <si>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</si>
  <si>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</si>
  <si>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</si>
  <si>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</si>
  <si>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</si>
  <si>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</si>
  <si>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</si>
  <si>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</si>
  <si>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</si>
  <si>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</si>
  <si>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</si>
  <si>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</si>
  <si>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</si>
  <si>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</si>
  <si>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</si>
  <si>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</si>
  <si>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</si>
  <si>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</si>
  <si>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</si>
  <si>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</si>
  <si>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</si>
  <si>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</si>
  <si>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</si>
  <si>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</si>
  <si>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</si>
  <si>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</si>
  <si>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</si>
  <si>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</si>
  <si>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</si>
  <si>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</si>
  <si>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</si>
  <si>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</si>
  <si>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</si>
  <si>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</si>
  <si>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</si>
  <si>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</si>
  <si>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</si>
  <si>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</si>
  <si>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</si>
  <si>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</si>
  <si>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</si>
  <si>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</si>
  <si>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</si>
  <si>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</si>
  <si>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</si>
  <si>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</si>
  <si>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</si>
  <si>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</si>
  <si>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</si>
  <si>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</si>
  <si>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</si>
  <si>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</si>
  <si>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</si>
  <si>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</si>
  <si>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</si>
  <si>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</si>
  <si>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</si>
  <si>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</si>
  <si>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</si>
  <si>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</si>
  <si>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</si>
  <si>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</si>
  <si>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</si>
  <si>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</si>
  <si>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</si>
  <si>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</si>
  <si>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</si>
  <si>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</si>
  <si>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</si>
  <si>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</si>
  <si>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</si>
  <si>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</si>
  <si>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</si>
  <si>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</si>
  <si>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</si>
  <si>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</si>
  <si>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</si>
  <si>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</si>
  <si>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</si>
  <si>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</si>
  <si>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</si>
  <si>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</si>
  <si>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</si>
  <si>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</si>
  <si>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</si>
  <si>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</si>
  <si>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</si>
  <si>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</si>
  <si>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</si>
  <si>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</si>
  <si>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</si>
  <si>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</si>
  <si>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</si>
  <si>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</si>
  <si>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</si>
  <si>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</si>
  <si>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</si>
  <si>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</si>
  <si>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</si>
  <si>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</si>
  <si>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</si>
  <si>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</si>
  <si>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</si>
  <si>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</si>
  <si>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</si>
  <si>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</si>
  <si>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</si>
  <si>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</si>
  <si>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</si>
  <si>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</si>
  <si>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</si>
  <si>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</si>
  <si>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</si>
  <si>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</si>
  <si>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</si>
  <si>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</si>
  <si>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</si>
  <si>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</si>
  <si>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</si>
  <si>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</si>
  <si>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</si>
  <si>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</si>
  <si>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</si>
  <si>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</si>
  <si>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</si>
  <si>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</si>
  <si>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</si>
  <si>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</si>
  <si>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</si>
  <si>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</si>
  <si>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</si>
  <si>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</si>
  <si>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</si>
  <si>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</si>
  <si>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</si>
  <si>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</si>
  <si>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</si>
  <si>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</si>
  <si>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</si>
  <si>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</si>
  <si>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</si>
  <si>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</si>
  <si>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</si>
  <si>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</si>
  <si>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</si>
  <si>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</si>
  <si>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</si>
  <si>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</si>
  <si>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</si>
  <si>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</si>
  <si>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</si>
  <si>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</si>
  <si>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</si>
  <si>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</si>
  <si>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</si>
  <si>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</si>
  <si>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</si>
  <si>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</si>
  <si>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</si>
  <si>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</si>
  <si>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</si>
  <si>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</si>
  <si>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</si>
  <si>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</si>
  <si>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</si>
  <si>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</si>
  <si>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</si>
  <si>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</si>
  <si>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</si>
  <si>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</si>
  <si>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</si>
  <si>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</si>
  <si>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</si>
  <si>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</si>
  <si>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</si>
  <si>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</si>
  <si>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</si>
  <si>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</si>
  <si>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</si>
  <si>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</si>
  <si>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</si>
  <si>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</si>
  <si>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</si>
  <si>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</si>
  <si>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</si>
  <si>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</si>
  <si>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nov. 2024</t>
  </si>
  <si>
    <t>Tribunales de Justicia</t>
  </si>
  <si>
    <t>ARAGÓN</t>
  </si>
  <si>
    <t>Provincias</t>
  </si>
  <si>
    <t>ZARAGOZA</t>
  </si>
  <si>
    <t>Resumenes por Partidos Judiciales</t>
  </si>
  <si>
    <t>BARBASTRO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</si>
</sst>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127</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ARAGÓN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BARBASTRO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1001</v>
      </c>
      <c r="D12" s="404">
        <f>IF(ISNUMBER(C12/Datos!BH12),C12/Datos!BH12," - ")</f>
        <v>500.5</v>
      </c>
      <c r="E12" s="403">
        <f>IF(ISNUMBER(IF(J_V="SI",Datos!J12,Datos!J12+Datos!Z12)),IF(J_V="SI",Datos!J12,Datos!J12+Datos!Z12)," - ")</f>
        <v>229</v>
      </c>
      <c r="F12" s="404">
        <f>IF(ISNUMBER(E12/B12),E12/B12," - ")</f>
        <v>114.5</v>
      </c>
      <c r="G12" s="403">
        <f>IF(ISNUMBER(IF(J_V="SI",Datos!K12,Datos!K12+Datos!AA12)),IF(J_V="SI",Datos!K12,Datos!K12+Datos!AA12)," - ")</f>
        <v>334</v>
      </c>
      <c r="H12" s="404">
        <f>IF(ISNUMBER(G12/B12),G12/B12," - ")</f>
        <v>167</v>
      </c>
      <c r="I12" s="403">
        <f>IF(ISNUMBER(IF(J_V="SI",Datos!L12,Datos!L12+Datos!AB12)),IF(J_V="SI",Datos!L12,Datos!L12+Datos!AB12)," - ")</f>
        <v>896</v>
      </c>
      <c r="J12" s="404">
        <f>IF(ISNUMBER(I12/B12),I12/B12," - ")</f>
        <v>448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1004</v>
      </c>
      <c r="D13" s="850" t="str">
        <f>IF(ISNUMBER(C13/Datos!BI13),C13/Datos!BI13," - ")</f>
        <v xml:space="preserve"> - </v>
      </c>
      <c r="E13" s="849">
        <f>SUBTOTAL(9,E8:E12)</f>
        <v>230</v>
      </c>
      <c r="F13" s="850">
        <f>IF(ISNUMBER(E13/B13),E13/B13," - ")</f>
        <v>115</v>
      </c>
      <c r="G13" s="849">
        <f>SUBTOTAL(9,G8:G12)</f>
        <v>334</v>
      </c>
      <c r="H13" s="850">
        <f>IF(ISNUMBER(G13/B13),G13/B13," - ")</f>
        <v>167</v>
      </c>
      <c r="I13" s="849">
        <f>SUBTOTAL(9,I8:I12)</f>
        <v>900</v>
      </c>
      <c r="J13" s="850">
        <f>IF(ISNUMBER(I13/B13),I13/B13," - ")</f>
        <v>450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753</v>
      </c>
      <c r="D16" s="404">
        <f>IF(ISNUMBER(C16/Datos!BH16),C16/Datos!BH16," - ")</f>
        <v>376.5</v>
      </c>
      <c r="E16" s="403">
        <f>IF(ISNUMBER(IF(D_I="SI",Datos!J16,Datos!J16+Datos!AD16)),IF(D_I="SI",Datos!J16,Datos!J16+Datos!AD16)," - ")</f>
        <v>630</v>
      </c>
      <c r="F16" s="404">
        <f>IF(ISNUMBER(E16/B16),E16/B16," - ")</f>
        <v>315</v>
      </c>
      <c r="G16" s="403">
        <f>IF(ISNUMBER(IF(D_I="SI",Datos!K16,Datos!K16+Datos!AE16)),IF(D_I="SI",Datos!K16,Datos!K16+Datos!AE16)," - ")</f>
        <v>610</v>
      </c>
      <c r="H16" s="404">
        <f>IF(ISNUMBER(G16/B16),G16/B16," - ")</f>
        <v>305</v>
      </c>
      <c r="I16" s="403">
        <f>IF(ISNUMBER(IF(D_I="SI",Datos!L16,Datos!L16+Datos!AF16)),IF(D_I="SI",Datos!L16,Datos!L16+Datos!AF16)," - ")</f>
        <v>791</v>
      </c>
      <c r="J16" s="404">
        <f>IF(ISNUMBER(I16/B16),I16/B16," - ")</f>
        <v>395.5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41</v>
      </c>
      <c r="F17" s="404">
        <f>IF(ISNUMBER(E17/B17),E17/B17," - ")</f>
        <v>41</v>
      </c>
      <c r="G17" s="403">
        <f>IF(ISNUMBER(IF(D_I="SI",Datos!K17,Datos!K17+Datos!AE17)),IF(D_I="SI",Datos!K17,Datos!K17+Datos!AE17)," - ")</f>
        <v>50</v>
      </c>
      <c r="H17" s="404">
        <f>IF(ISNUMBER(G17/B17),G17/B17," - ")</f>
        <v>50</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768</v>
      </c>
      <c r="D18" s="850" t="str">
        <f>IF(ISNUMBER(C18/Datos!BI18),C18/Datos!BI18," - ")</f>
        <v xml:space="preserve"> - </v>
      </c>
      <c r="E18" s="849">
        <f>SUBTOTAL(9,E14:E17)</f>
        <v>671</v>
      </c>
      <c r="F18" s="850">
        <f>IF(ISNUMBER(E18/B18),E18/B18," - ")</f>
        <v>335.5</v>
      </c>
      <c r="G18" s="849">
        <f>SUBTOTAL(9,G14:G17)</f>
        <v>660</v>
      </c>
      <c r="H18" s="850">
        <f>IF(ISNUMBER(G18/B18),G18/B18," - ")</f>
        <v>330</v>
      </c>
      <c r="I18" s="849">
        <f>SUBTOTAL(9,I14:I17)</f>
        <v>797</v>
      </c>
      <c r="J18" s="850">
        <f>IF(ISNUMBER(I18/B18),I18/B18," - ")</f>
        <v>398.5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1772</v>
      </c>
      <c r="D19" s="795" t="str">
        <f>IF(ISNUMBER(C19/Datos!BI19),C19/Datos!BI19," - ")</f>
        <v xml:space="preserve"> - </v>
      </c>
      <c r="E19" s="794">
        <f>SUBTOTAL(9,E9:E18)</f>
        <v>901</v>
      </c>
      <c r="F19" s="795">
        <f>IF(ISNUMBER(E19/B19),E19/B19," - ")</f>
        <v>450.5</v>
      </c>
      <c r="G19" s="794">
        <f>SUBTOTAL(9,G9:G18)</f>
        <v>994</v>
      </c>
      <c r="H19" s="795">
        <f>IF(ISNUMBER(G19/B19),G19/B19," - ")</f>
        <v>497</v>
      </c>
      <c r="I19" s="794">
        <f>SUBTOTAL(9,I9:I18)</f>
        <v>1697</v>
      </c>
      <c r="J19" s="795">
        <f>IF(ISNUMBER(I19/B19),I19/B19," - ")</f>
        <v>848.5</v>
      </c>
      <c r="K19" s="796">
        <f t="shared" ref="K19" si="2">SUBTOTAL(9,K9:K18)</f>
        <v>0</v>
      </c>
      <c r="L19" s="796"/>
      <c r="M19" s="796">
        <f>SUBTOTAL(9,M9:M18)</f>
        <v>0</v>
      </c>
      <c r="N19" s="796">
        <f>SUBTOTAL(9,N9:N18)</f>
        <v>0</v>
      </c>
    </row>
    <row r="20" spans="1:69">
      <c r="A20" s="411" t="str">
        <f>IF(J_V="NO","(1) Incluida Jurisdicción Voluntaria","(1) Excluída Jurisdicción Voluntaria")</f>
        <v>(1) Excluída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nov. 2024</v>
      </c>
    </row>
    <row r="27" spans="1:69">
      <c r="A27" s="414"/>
    </row>
  </sheetData>
  <sheetProtection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ARAGÓN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BARBASTRO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nov. 2024</v>
      </c>
      <c r="B23" s="391"/>
      <c r="C23" s="391"/>
    </row>
    <row r="27" spans="1:13">
      <c r="A27" s="414"/>
      <c r="B27" s="414"/>
      <c r="C27" s="414"/>
    </row>
  </sheetData>
  <sheetProtection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ARAGÓN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BARBASTRO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118</v>
      </c>
      <c r="G12" s="404">
        <f t="shared" si="1"/>
        <v>59</v>
      </c>
      <c r="H12" s="403">
        <f>IF(ISNUMBER(Datos!O12),Datos!O12," - ")</f>
        <v>154</v>
      </c>
      <c r="I12" s="404">
        <f t="shared" si="2"/>
        <v>77</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118</v>
      </c>
      <c r="G13" s="850">
        <f t="shared" si="1"/>
        <v>59</v>
      </c>
      <c r="H13" s="849">
        <f>SUBTOTAL(9,H9:H12)</f>
        <v>154</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64</v>
      </c>
      <c r="E16" s="404">
        <f t="shared" si="3"/>
        <v>32</v>
      </c>
      <c r="F16" s="403">
        <f>IF(ISNUMBER(Datos!N16),Datos!N16," - ")</f>
        <v>337</v>
      </c>
      <c r="G16" s="404">
        <f t="shared" si="4"/>
        <v>168.5</v>
      </c>
      <c r="H16" s="403">
        <f>IF(ISNUMBER(Datos!O16),Datos!O16," - ")</f>
        <v>19</v>
      </c>
      <c r="I16" s="404">
        <f t="shared" si="5"/>
        <v>9.5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66</v>
      </c>
      <c r="E18" s="850">
        <f t="shared" si="3"/>
        <v>33</v>
      </c>
      <c r="F18" s="849">
        <f>SUBTOTAL(9,F15:F17)</f>
        <v>357</v>
      </c>
      <c r="G18" s="850">
        <f t="shared" si="4"/>
        <v>178.5</v>
      </c>
      <c r="H18" s="849">
        <f>SUBTOTAL(9,H15:H17)</f>
        <v>19</v>
      </c>
      <c r="I18" s="850">
        <f>IF(ISNUMBER(H18/B18),H18/B18," - ")</f>
        <v>9.5</v>
      </c>
      <c r="BZ18" s="1186"/>
    </row>
    <row r="19" spans="1:78" ht="14.25" thickTop="1" thickBot="1">
      <c r="A19" s="793" t="str">
        <f>Datos!A19</f>
        <v>TOTAL JURISDICCIONES</v>
      </c>
      <c r="B19" s="794">
        <f>Datos!AP19</f>
        <v>2</v>
      </c>
      <c r="C19" s="794">
        <f>Datos!AR19</f>
        <v>2</v>
      </c>
      <c r="D19" s="794">
        <f>SUBTOTAL(9,D8:D18)</f>
        <v>141</v>
      </c>
      <c r="E19" s="795">
        <f>IF(ISNUMBER(D19/B19),D19/B19," - ")</f>
        <v>70.5</v>
      </c>
      <c r="F19" s="794">
        <f>SUBTOTAL(9,F8:F18)</f>
        <v>475</v>
      </c>
      <c r="G19" s="795">
        <f>IF(ISNUMBER(F19/B19),F19/B19," - ")</f>
        <v>237.5</v>
      </c>
      <c r="H19" s="794">
        <f>SUBTOTAL(9,H8:H18)</f>
        <v>173</v>
      </c>
      <c r="I19" s="795">
        <f>IF(ISNUMBER(H19/B19),H19/B19," - ")</f>
        <v>86.5</v>
      </c>
    </row>
    <row r="22" spans="1:78">
      <c r="A22" s="391" t="str">
        <f>Criterios!A4</f>
        <v>Fecha Informe: 28 nov. 2024</v>
      </c>
    </row>
    <row r="27" spans="1:78">
      <c r="A27" s="414"/>
    </row>
  </sheetData>
  <sheetProtection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ARAGÓN</v>
      </c>
    </row>
    <row r="3" spans="1:4" ht="19.5">
      <c r="A3" s="429" t="s">
        <v>32</v>
      </c>
      <c r="B3" s="391" t="str">
        <f>Criterios!A10 &amp;"  "&amp;Criterios!B10</f>
        <v>Provincias  ZARAGOZA</v>
      </c>
    </row>
    <row r="4" spans="1:4" ht="13.5" thickBot="1">
      <c r="B4" s="391" t="str">
        <f>Criterios!A11 &amp;"  "&amp;Criterios!B11</f>
        <v>Resumenes por Partidos Judiciales  BARBASTRO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260</v>
      </c>
      <c r="D12" s="408">
        <f>IF(ISNUMBER(Datos!R12),Datos!R12," - ")</f>
        <v>1654</v>
      </c>
    </row>
    <row r="13" spans="1:4" ht="14.25" thickTop="1" thickBot="1">
      <c r="A13" s="848" t="str">
        <f>Datos!A13</f>
        <v>TOTAL</v>
      </c>
      <c r="B13" s="849">
        <f>SUBTOTAL(9,B9:B12)</f>
        <v>103</v>
      </c>
      <c r="C13" s="853">
        <f>SUBTOTAL(9,C9:C12)</f>
        <v>260</v>
      </c>
      <c r="D13" s="851">
        <f>SUBTOTAL(9,D9:D12)</f>
        <v>1654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20</v>
      </c>
      <c r="D16" s="408">
        <f>IF(ISNUMBER(Datos!R16),Datos!R16," - ")</f>
        <v>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20</v>
      </c>
      <c r="D18" s="851">
        <f>SUBTOTAL(9,D15:D17)</f>
        <v>82</v>
      </c>
    </row>
    <row r="19" spans="1:4" ht="16.5" customHeight="1" thickTop="1" thickBot="1">
      <c r="A19" s="793" t="str">
        <f>Datos!A19</f>
        <v>TOTAL JURISDICCIONES</v>
      </c>
      <c r="B19" s="798">
        <f>SUBTOTAL(9,B8:B18)</f>
        <v>127</v>
      </c>
      <c r="C19" s="799">
        <f>SUBTOTAL(9,C8:C18)</f>
        <v>280</v>
      </c>
      <c r="D19" s="800">
        <f>SUBTOTAL(9,D8:D18)</f>
        <v>1736</v>
      </c>
    </row>
    <row r="20" spans="1:4" ht="7.5" customHeight="1"/>
    <row r="21" spans="1:4" ht="6" customHeight="1"/>
    <row r="22" spans="1:4">
      <c r="A22" s="391" t="str">
        <f>Criterios!A4</f>
        <v>Fecha Informe: 28 nov. 2024</v>
      </c>
    </row>
    <row r="27" spans="1:4">
      <c r="A27" s="414"/>
    </row>
  </sheetData>
  <sheetProtection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ARAGÓN</v>
      </c>
    </row>
    <row r="3" spans="1:11" ht="18.75" customHeight="1">
      <c r="A3" s="429" t="s">
        <v>118</v>
      </c>
      <c r="B3" s="391" t="str">
        <f>Criterios!A10 &amp;"  "&amp;Criterios!B10</f>
        <v>Provincias  ZARAGOZA</v>
      </c>
    </row>
    <row r="4" spans="1:11" ht="10.5" customHeight="1" thickBot="1">
      <c r="B4" s="391" t="str">
        <f>Criterios!A11 &amp;"  "&amp;Criterios!B11</f>
        <v>Resumenes por Partidos Judiciales  BARBASTRO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v>
      </c>
      <c r="D10" s="456">
        <f>IF(ISNUMBER((Datos!K10-Datos!U10)/Datos!U10),(Datos!K10-Datos!U10)/Datos!U10," - ")</f>
        <v>-1</v>
      </c>
      <c r="E10" s="456">
        <f>IF(ISNUMBER((Datos!L10-Datos!V10)/Datos!V10),(Datos!L10-Datos!V10)/Datos!V10," - ")</f>
        <v>0.33333333333333331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0.16260162601626016</v>
      </c>
      <c r="C12" s="456">
        <f>IF(ISNUMBER(
   IF(J_V="SI",(Datos!J12-Datos!T12)/Datos!T12,(Datos!J12+Datos!Z12-(Datos!T12+Datos!AH12))/(Datos!T12+Datos!AH12))
     ),IF(J_V="SI",(Datos!J12-Datos!T12)/Datos!T12,(Datos!J12+Datos!Z12-(Datos!T12+Datos!AH12))/(Datos!T12+Datos!AH12))," - ")</f>
        <v>-0.24918032786885247</v>
      </c>
      <c r="D12" s="456">
        <f>IF(ISNUMBER(
   IF(J_V="SI",(Datos!K12-Datos!U12)/Datos!U12,(Datos!K12+Datos!AA12-(Datos!U12+Datos!AI12))/(Datos!U12+Datos!AI12))
     ),IF(J_V="SI",(Datos!K12-Datos!U12)/Datos!U12,(Datos!K12+Datos!AA12-(Datos!U12+Datos!AI12))/(Datos!U12+Datos!AI12))," - ")</f>
        <v>0.72164948453608246</v>
      </c>
      <c r="E12" s="456">
        <f>IF(ISNUMBER(
   IF(J_V="SI",(Datos!L12-Datos!V12)/Datos!V12,(Datos!L12+Datos!AB12-(Datos!V12+Datos!AJ12))/(Datos!V12+Datos!AJ12))
     ),IF(J_V="SI",(Datos!L12-Datos!V12)/Datos!V12,(Datos!L12+Datos!AB12-(Datos!V12+Datos!AJ12))/(Datos!V12+Datos!AJ12))," - ")</f>
        <v>-7.43801652892562E-2</v>
      </c>
      <c r="F12" s="456">
        <f>IF(ISNUMBER((Datos!M12-Datos!W12)/Datos!W12),(Datos!M12-Datos!W12)/Datos!W12," - ")</f>
        <v>0.7857142857142857</v>
      </c>
      <c r="G12" s="457">
        <f>IF(ISNUMBER((Datos!N12-Datos!X12)/Datos!X12),(Datos!N12-Datos!X12)/Datos!X12," - ")</f>
        <v>1.0344827586206897</v>
      </c>
      <c r="H12" s="455">
        <f>IF(ISNUMBER(((NºAsuntos!G12/NºAsuntos!E12)-Datos!BD12)/Datos!BD12),((NºAsuntos!G12/NºAsuntos!E12)-Datos!BD12)/Datos!BD12," - ")</f>
        <v>1.2930266060415074</v>
      </c>
      <c r="I12" s="456">
        <f>IF(ISNUMBER(((NºAsuntos!I12/NºAsuntos!G12)-Datos!BE12)/Datos!BE12),((NºAsuntos!I12/NºAsuntos!G12)-Datos!BE12)/Datos!BE12," - ")</f>
        <v>-0.46236452714405901</v>
      </c>
      <c r="J12" s="461">
        <f>IF(ISNUMBER((('Resol  Asuntos'!D12/NºAsuntos!G12)-Datos!BF12)/Datos!BF12),(('Resol  Asuntos'!D12/NºAsuntos!G12)-Datos!BF12)/Datos!BF12," - ")</f>
        <v>-0.24891596118108611</v>
      </c>
      <c r="K12" s="462">
        <f>IF(ISNUMBER((((NºAsuntos!C12+NºAsuntos!E12)/NºAsuntos!G12)-Datos!BG12)/Datos!BG12),(((NºAsuntos!C12+NºAsuntos!E12)/NºAsuntos!G12)-Datos!BG12)/Datos!BG12," - ")</f>
        <v>-0.38728032785201472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0.16203703703703703</v>
      </c>
      <c r="C13" s="855">
        <f>IF(ISNUMBER(
   IF(J_V="SI",(Datos!J13-Datos!T13)/Datos!T13,(Datos!J13+Datos!Z13-(Datos!T13+Datos!AH13))/(Datos!T13+Datos!AH13))
     ),IF(J_V="SI",(Datos!J13-Datos!T13)/Datos!T13,(Datos!J13+Datos!Z13-(Datos!T13+Datos!AH13))/(Datos!T13+Datos!AH13))," - ")</f>
        <v>-0.250814332247557</v>
      </c>
      <c r="D13" s="855">
        <f>IF(ISNUMBER(
   IF(J_V="SI",(Datos!K13-Datos!U13)/Datos!U13,(Datos!K13+Datos!AA13-(Datos!U13+Datos!AI13))/(Datos!U13+Datos!AI13))
     ),IF(J_V="SI",(Datos!K13-Datos!U13)/Datos!U13,(Datos!K13+Datos!AA13-(Datos!U13+Datos!AI13))/(Datos!U13+Datos!AI13))," - ")</f>
        <v>0.70408163265306123</v>
      </c>
      <c r="E13" s="855">
        <f>IF(ISNUMBER(
   IF(J_V="SI",(Datos!L13-Datos!V13)/Datos!V13,(Datos!L13+Datos!AB13-(Datos!V13+Datos!AJ13))/(Datos!V13+Datos!AJ13))
     ),IF(J_V="SI",(Datos!L13-Datos!V13)/Datos!V13,(Datos!L13+Datos!AB13-(Datos!V13+Datos!AJ13))/(Datos!V13+Datos!AJ13))," - ")</f>
        <v>-7.312049433573635E-2</v>
      </c>
      <c r="F13" s="856">
        <f>IF(ISNUMBER((Datos!M13-Datos!W13)/Datos!W13),(Datos!M13-Datos!W13)/Datos!W13," - ")</f>
        <v>0.70454545454545459</v>
      </c>
      <c r="G13" s="857">
        <f>IF(ISNUMBER((Datos!N13-Datos!X13)/Datos!X13),(Datos!N13-Datos!X13)/Datos!X13," - ")</f>
        <v>1.0344827586206897</v>
      </c>
      <c r="H13" s="857">
        <f>IF(ISNUMBER(((NºAsuntos!G13/NºAsuntos!E13)-Datos!BD13)/Datos!BD13),((NºAsuntos!G13/NºAsuntos!E13)-Datos!BD13)/Datos!BD13," - ")</f>
        <v>1.2745785270629995</v>
      </c>
      <c r="I13" s="857">
        <f>IF(ISNUMBER(((NºAsuntos!I13/NºAsuntos!G13)-Datos!BE13)/Datos!BE13),((NºAsuntos!I13/NºAsuntos!G13)-Datos!BE13)/Datos!BE13," - ")</f>
        <v>-0.45608268529881529</v>
      </c>
      <c r="J13" s="857">
        <f>IF(ISNUMBER((('Resol  Asuntos'!D13/NºAsuntos!G13)-Datos!BF13)/Datos!BF13),(('Resol  Asuntos'!D13/NºAsuntos!G13)-Datos!BF13)/Datos!BF13," - ")</f>
        <v>-0.26646706586826352</v>
      </c>
      <c r="K13" s="857">
        <f>IF(ISNUMBER((((NºAsuntos!C13+NºAsuntos!E13)/NºAsuntos!G13)-Datos!BG13)/Datos!BG13),(((NºAsuntos!C13+NºAsuntos!E13)/NºAsuntos!G13)-Datos!BG13)/Datos!BG13," - ")</f>
        <v>-0.38160229498304837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0.15490797546012269</v>
      </c>
      <c r="C16" s="456">
        <f>IF(ISNUMBER(
   IF(D_I="SI",(Datos!J16-Datos!T16)/Datos!T16,(Datos!J16+Datos!AD16-(Datos!T16+Datos!AL16))/(Datos!T16+Datos!AL16))
     ),IF(D_I="SI",(Datos!J16-Datos!T16)/Datos!T16,(Datos!J16+Datos!AD16-(Datos!T16+Datos!AL16))/(Datos!T16+Datos!AL16))," - ")</f>
        <v>0.2138728323699422</v>
      </c>
      <c r="D16" s="456">
        <f>IF(ISNUMBER(
   IF(D_I="SI",(Datos!K16-Datos!U16)/Datos!U16,(Datos!K16+Datos!AE16-(Datos!U16+Datos!AM16))/(Datos!U16+Datos!AM16))
     ),IF(D_I="SI",(Datos!K16-Datos!U16)/Datos!U16,(Datos!K16+Datos!AE16-(Datos!U16+Datos!AM16))/(Datos!U16+Datos!AM16))," - ")</f>
        <v>5.7192374350086658E-2</v>
      </c>
      <c r="E16" s="456">
        <f>IF(ISNUMBER(
   IF(D_I="SI",(Datos!L16-Datos!V16)/Datos!V16,(Datos!L16+Datos!AF16-(Datos!V16+Datos!AN16))/(Datos!V16+Datos!AN16))
     ),IF(D_I="SI",(Datos!L16-Datos!V16)/Datos!V16,(Datos!L16+Datos!AF16-(Datos!V16+Datos!AN16))/(Datos!V16+Datos!AN16))," - ")</f>
        <v>-0.14854682454251883</v>
      </c>
      <c r="F16" s="456">
        <f>IF(ISNUMBER((Datos!M16-Datos!W16)/Datos!W16),(Datos!M16-Datos!W16)/Datos!W16," - ")</f>
        <v>3.2258064516129031E-2</v>
      </c>
      <c r="G16" s="457">
        <f>IF(ISNUMBER((Datos!N16-Datos!X16)/Datos!X16),(Datos!N16-Datos!X16)/Datos!X16," - ")</f>
        <v>-0.10372340425531915</v>
      </c>
      <c r="H16" s="455">
        <f>IF(ISNUMBER(((NºAsuntos!G16/NºAsuntos!E16)-Datos!BD16)/Datos!BD16),((NºAsuntos!G16/NºAsuntos!E16)-Datos!BD16)/Datos!BD16," - ")</f>
        <v>-0.1290748535115952</v>
      </c>
      <c r="I16" s="456">
        <f>IF(ISNUMBER(((NºAsuntos!I16/NºAsuntos!G16)-Datos!BE16)/Datos!BE16),((NºAsuntos!I16/NºAsuntos!G16)-Datos!BE16)/Datos!BE16," - ")</f>
        <v>-0.19460904550989069</v>
      </c>
      <c r="J16" s="461">
        <f>IF(ISNUMBER((('Resol  Asuntos'!D16/NºAsuntos!G16)-Datos!BF16)/Datos!BF16),(('Resol  Asuntos'!D16/NºAsuntos!G16)-Datos!BF16)/Datos!BF16," - ")</f>
        <v>-2.3585404547858235E-2</v>
      </c>
      <c r="K16" s="462">
        <f>IF(ISNUMBER((((NºAsuntos!C16+NºAsuntos!E16)/NºAsuntos!G16)-Datos!BG16)/Datos!BG16),(((NºAsuntos!C16+NºAsuntos!E16)/NºAsuntos!G16)-Datos!BG16)/Datos!BG16," - ")</f>
        <v>0.11714941691982451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7.8947368421052627E-2</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-0.86046511627906974</v>
      </c>
      <c r="F17" s="456">
        <f>IF(ISNUMBER((Datos!M17-Datos!W17)/Datos!W17),(Datos!M17-Datos!W17)/Datos!W17," - ")</f>
        <v>0</v>
      </c>
      <c r="G17" s="457">
        <f>IF(ISNUMBER((Datos!N17-Datos!X17)/Datos!X17),(Datos!N17-Datos!X17)/Datos!X17," - ")</f>
        <v>-0.33333333333333331</v>
      </c>
      <c r="H17" s="455">
        <f>IF(ISNUMBER(((NºAsuntos!G17/NºAsuntos!E17)-Datos!BD17)/Datos!BD17),((NºAsuntos!G17/NºAsuntos!E17)-Datos!BD17)/Datos!BD17," - ")</f>
        <v>-0.15742793791574283</v>
      </c>
      <c r="I17" s="456">
        <f>IF(ISNUMBER(((NºAsuntos!I17/NºAsuntos!G17)-Datos!BE17)/Datos!BE17),((NºAsuntos!I17/NºAsuntos!G17)-Datos!BE17)/Datos!BE17," - ")</f>
        <v>-0.84651162790697676</v>
      </c>
      <c r="J17" s="461">
        <f>IF(ISNUMBER((('Resol  Asuntos'!D17/NºAsuntos!G17)-Datos!BF17)/Datos!BF17),(('Resol  Asuntos'!D17/NºAsuntos!G17)-Datos!BF17)/Datos!BF17," - ")</f>
        <v>0.10000000000000007</v>
      </c>
      <c r="K17" s="462">
        <f>IF(ISNUMBER((((NºAsuntos!C17+NºAsuntos!E17)/NºAsuntos!G17)-Datos!BG17)/Datos!BG17),(((NºAsuntos!C17+NºAsuntos!E17)/NºAsuntos!G17)-Datos!BG17)/Datos!BG17," - ")</f>
        <v>-0.37142857142857133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7.8651685393258425E-2</v>
      </c>
      <c r="C18" s="855">
        <f>IF(ISNUMBER(
   IF(Criterios!B14="SI",(Datos!J18-Datos!T18)/Datos!T18,(Datos!J18+Datos!AD18-(Datos!T18+Datos!AL18))/(Datos!T18+Datos!AL18))
     ),IF(Criterios!B14="SI",(Datos!J18-Datos!T18)/Datos!T18,(Datos!J18+Datos!AD18-(Datos!T18+Datos!AL18))/(Datos!T18+Datos!AL18))," - ")</f>
        <v>0.20466786355475763</v>
      </c>
      <c r="D18" s="855">
        <f>IF(ISNUMBER(
   IF(Criterios!B14="SI",(Datos!K18-Datos!U18)/Datos!U18,(Datos!K18+Datos!AE18-(Datos!U18+Datos!AM18))/(Datos!U18+Datos!AM18))
     ),IF(Criterios!B14="SI",(Datos!K18-Datos!U18)/Datos!U18,(Datos!K18+Datos!AE18-(Datos!U18+Datos!AM18))/(Datos!U18+Datos!AM18))," - ")</f>
        <v>4.4303797468354431E-2</v>
      </c>
      <c r="E18" s="855">
        <f>IF(ISNUMBER(
   IF(Criterios!B14="SI",(Datos!L18-Datos!V18)/Datos!V18,(Datos!L18+Datos!AF18-(Datos!V18+Datos!AN18))/(Datos!V18+Datos!AN18))
     ),IF(Criterios!B14="SI",(Datos!L18-Datos!V18)/Datos!V18,(Datos!L18+Datos!AF18-(Datos!V18+Datos!AN18))/(Datos!V18+Datos!AN18))," - ")</f>
        <v>-0.1800411522633745</v>
      </c>
      <c r="F18" s="856">
        <f>IF(ISNUMBER((Datos!M18-Datos!W18)/Datos!W18),(Datos!M18-Datos!W18)/Datos!W18," - ")</f>
        <v>3.125E-2</v>
      </c>
      <c r="G18" s="857">
        <f>IF(ISNUMBER((Datos!N18-Datos!X18)/Datos!X18),(Datos!N18-Datos!X18)/Datos!X18," - ")</f>
        <v>-0.1206896551724138</v>
      </c>
      <c r="H18" s="857">
        <f>IF(ISNUMBER(((NºAsuntos!G18/NºAsuntos!E18)-Datos!BD18)/Datos!BD18),((NºAsuntos!G18/NºAsuntos!E18)-Datos!BD18)/Datos!BD18," - ")</f>
        <v>-0.13311890433699936</v>
      </c>
      <c r="I18" s="857">
        <f>IF(ISNUMBER(((NºAsuntos!I18/NºAsuntos!G18)-Datos!BE18)/Datos!BE18),((NºAsuntos!I18/NºAsuntos!G18)-Datos!BE18)/Datos!BE18," - ")</f>
        <v>-0.21482728519765559</v>
      </c>
      <c r="J18" s="857">
        <f>IF(ISNUMBER((('Resol  Asuntos'!D18/NºAsuntos!G18)-Datos!BF18)/Datos!BF18),(('Resol  Asuntos'!D18/NºAsuntos!G18)-Datos!BF18)/Datos!BF18," - ")</f>
        <v>-1.249999999999993E-2</v>
      </c>
      <c r="K18" s="857">
        <f>IF(ISNUMBER((((NºAsuntos!C18+NºAsuntos!E18)/NºAsuntos!G18)-Datos!BG18)/Datos!BG18),(((NºAsuntos!C18+NºAsuntos!E18)/NºAsuntos!G18)-Datos!BG18)/Datos!BG18," - ")</f>
        <v>8.5856197912935542E-2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0.12436548223350254</v>
      </c>
      <c r="C19" s="802">
        <f>IF(ISNUMBER(
   IF(J_V="SI",(Datos!J19-Datos!T19)/Datos!T19,(Datos!J19+Datos!Z19-(Datos!T19+Datos!AH19))/(Datos!T19+Datos!AH19))
     ),IF(J_V="SI",(Datos!J19-Datos!T19)/Datos!T19,(Datos!J19+Datos!Z19-(Datos!T19+Datos!AH19))/(Datos!T19+Datos!AH19))," - ")</f>
        <v>4.2824074074074077E-2</v>
      </c>
      <c r="D19" s="802">
        <f>IF(ISNUMBER(
   IF(J_V="SI",(Datos!K19-Datos!U19)/Datos!U19,(Datos!K19+Datos!AA19-(Datos!U19+Datos!AI19))/(Datos!U19+Datos!AI19))
     ),IF(J_V="SI",(Datos!K19-Datos!U19)/Datos!U19,(Datos!K19+Datos!AA19-(Datos!U19+Datos!AI19))/(Datos!U19+Datos!AI19))," - ")</f>
        <v>0.20048309178743962</v>
      </c>
      <c r="E19" s="802">
        <f>IF(ISNUMBER(
   IF(J_V="SI",(Datos!L19-Datos!V19)/Datos!V19,(Datos!L19+Datos!AB19-(Datos!V19+Datos!AJ19))/(Datos!V19+Datos!AJ19))
     ),IF(J_V="SI",(Datos!L19-Datos!V19)/Datos!V19,(Datos!L19+Datos!AB19-(Datos!V19+Datos!AJ19))/(Datos!V19+Datos!AJ19))," - ")</f>
        <v>-0.12660833762223367</v>
      </c>
      <c r="F19" s="803">
        <f>IF(ISNUMBER((Datos!M19-Datos!W19)/Datos!W19),(Datos!M19-Datos!W19)/Datos!W19," - ")</f>
        <v>0.30555555555555558</v>
      </c>
      <c r="G19" s="804">
        <f>IF(ISNUMBER((Datos!N19-Datos!X19)/Datos!X19),(Datos!N19-Datos!X19)/Datos!X19," - ")</f>
        <v>2.3706896551724137E-2</v>
      </c>
      <c r="H19" s="805">
        <f>IF(ISNUMBER((Tasas!B19-Datos!BD19)/Datos!BD19),(Tasas!B19-Datos!BD19)/Datos!BD19," - ")</f>
        <v>0.15118467403368241</v>
      </c>
      <c r="I19" s="806">
        <f>IF(ISNUMBER((Tasas!C19-Datos!BE19)/Datos!BE19),(Tasas!C19-Datos!BE19)/Datos!BE19," - ")</f>
        <v>-0.27246650256660915</v>
      </c>
      <c r="J19" s="807">
        <f>IF(ISNUMBER((Tasas!D19-Datos!BF19)/Datos!BF19),(Tasas!D19-Datos!BF19)/Datos!BF19," - ")</f>
        <v>-5.2800675017848936E-2</v>
      </c>
      <c r="K19" s="807">
        <f>IF(ISNUMBER((Tasas!E19-Datos!BG19)/Datos!BG19),(Tasas!E19-Datos!BG19)/Datos!BG19," - ")</f>
        <v>-8.7457532077712202E-2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ARAGÓN</v>
      </c>
    </row>
    <row r="3" spans="1:7" ht="19.5">
      <c r="A3" s="436" t="s">
        <v>12</v>
      </c>
      <c r="B3" s="391" t="str">
        <f>Criterios!A10 &amp;"  "&amp;Criterios!B10</f>
        <v>Provincias  ZARAGOZA</v>
      </c>
    </row>
    <row r="4" spans="1:7" ht="11.25" customHeight="1" thickBot="1">
      <c r="B4" s="391" t="str">
        <f>Criterios!A11 &amp;"  "&amp;Criterios!B11</f>
        <v>Resumenes por Partidos Judiciales  BARBASTRO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1.4585152838427948</v>
      </c>
      <c r="C12" s="443">
        <f>IF(ISNUMBER(NºAsuntos!I12/NºAsuntos!G12),NºAsuntos!I12/NºAsuntos!G12," - ")</f>
        <v>2.682634730538922</v>
      </c>
      <c r="D12" s="444">
        <f>IF(ISNUMBER('Resol  Asuntos'!D12/NºAsuntos!G12),'Resol  Asuntos'!D12/NºAsuntos!G12," - ")</f>
        <v>0.22455089820359281</v>
      </c>
      <c r="E12" s="445">
        <f>IF(ISNUMBER((NºAsuntos!C12+NºAsuntos!E12)/NºAsuntos!G12),(NºAsuntos!C12+NºAsuntos!E12)/NºAsuntos!G12," - ")</f>
        <v>3.682634730538922</v>
      </c>
      <c r="G12" s="463"/>
    </row>
    <row r="13" spans="1:7" ht="14.25" thickTop="1" thickBot="1">
      <c r="A13" s="848" t="str">
        <f>Datos!A13</f>
        <v>TOTAL</v>
      </c>
      <c r="B13" s="858">
        <f>IF(ISNUMBER(NºAsuntos!G13/NºAsuntos!E13),NºAsuntos!G13/NºAsuntos!E13," - ")</f>
        <v>1.4521739130434783</v>
      </c>
      <c r="C13" s="859">
        <f>IF(ISNUMBER(NºAsuntos!I13/NºAsuntos!G13),NºAsuntos!I13/NºAsuntos!G13," - ")</f>
        <v>2.6946107784431139</v>
      </c>
      <c r="D13" s="860">
        <f>IF(ISNUMBER('Resol  Asuntos'!D13/NºAsuntos!G13),'Resol  Asuntos'!D13/NºAsuntos!G13," - ")</f>
        <v>0.22455089820359281</v>
      </c>
      <c r="E13" s="861">
        <f>IF(ISNUMBER((NºAsuntos!C13+NºAsuntos!E13)/NºAsuntos!G13),(NºAsuntos!C13+NºAsuntos!E13)/NºAsuntos!G13," - ")</f>
        <v>3.6946107784431139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0.96825396825396826</v>
      </c>
      <c r="C16" s="443">
        <f>IF(ISNUMBER(NºAsuntos!I16/NºAsuntos!G16),NºAsuntos!I16/NºAsuntos!G16," - ")</f>
        <v>1.2967213114754099</v>
      </c>
      <c r="D16" s="444">
        <f>IF(ISNUMBER('Resol  Asuntos'!D16/NºAsuntos!G16),'Resol  Asuntos'!D16/NºAsuntos!G16," - ")</f>
        <v>0.10491803278688525</v>
      </c>
      <c r="E16" s="445">
        <f>IF(ISNUMBER((NºAsuntos!C16+NºAsuntos!E16)/NºAsuntos!G16),(NºAsuntos!C16+NºAsuntos!E16)/NºAsuntos!G16," - ")</f>
        <v>2.2672131147540981</v>
      </c>
      <c r="G16" s="463"/>
    </row>
    <row r="17" spans="1:7" ht="13.5" thickBot="1">
      <c r="A17" s="402" t="str">
        <f>Datos!A17</f>
        <v>Jdos. Violencia contra la mujer</v>
      </c>
      <c r="B17" s="442">
        <f>IF(ISNUMBER(NºAsuntos!G17/NºAsuntos!E17),NºAsuntos!G17/NºAsuntos!E17," - ")</f>
        <v>1.2195121951219512</v>
      </c>
      <c r="C17" s="443">
        <f>IF(ISNUMBER(NºAsuntos!I17/NºAsuntos!G17),NºAsuntos!I17/NºAsuntos!G17," - ")</f>
        <v>0.12</v>
      </c>
      <c r="D17" s="444">
        <f>IF(ISNUMBER('Resol  Asuntos'!D17/NºAsuntos!G17),'Resol  Asuntos'!D17/NºAsuntos!G17," - ")</f>
        <v>0.04</v>
      </c>
      <c r="E17" s="445">
        <f>IF(ISNUMBER((NºAsuntos!C17+NºAsuntos!E17)/NºAsuntos!G17),(NºAsuntos!C17+NºAsuntos!E17)/NºAsuntos!G17," - ")</f>
        <v>1.1200000000000001</v>
      </c>
      <c r="G17" s="463"/>
    </row>
    <row r="18" spans="1:7" ht="14.25" thickTop="1" thickBot="1">
      <c r="A18" s="848" t="str">
        <f>Datos!A18</f>
        <v>TOTAL</v>
      </c>
      <c r="B18" s="858">
        <f>IF(ISNUMBER(NºAsuntos!G18/NºAsuntos!E18),NºAsuntos!G18/NºAsuntos!E18," - ")</f>
        <v>0.98360655737704916</v>
      </c>
      <c r="C18" s="859">
        <f>IF(ISNUMBER(NºAsuntos!I18/NºAsuntos!G18),NºAsuntos!I18/NºAsuntos!G18," - ")</f>
        <v>1.2075757575757575</v>
      </c>
      <c r="D18" s="862">
        <f>IF(ISNUMBER('Resol  Asuntos'!D18/NºAsuntos!G18),'Resol  Asuntos'!D18/NºAsuntos!G18," - ")</f>
        <v>0.1</v>
      </c>
      <c r="E18" s="861">
        <f>IF(ISNUMBER((NºAsuntos!C18+NºAsuntos!E18)/NºAsuntos!G18),(NºAsuntos!C18+NºAsuntos!E18)/NºAsuntos!G18," - ")</f>
        <v>2.1803030303030302</v>
      </c>
      <c r="G18" s="463"/>
    </row>
    <row r="19" spans="1:7" ht="15.75" customHeight="1" thickTop="1" thickBot="1">
      <c r="A19" s="793" t="str">
        <f>Datos!A19</f>
        <v>TOTAL JURISDICCIONES</v>
      </c>
      <c r="B19" s="808">
        <f>IF(ISNUMBER(NºAsuntos!G19/NºAsuntos!E19),NºAsuntos!G19/NºAsuntos!E19," - ")</f>
        <v>1.1032186459489457</v>
      </c>
      <c r="C19" s="809">
        <f>IF(ISNUMBER(NºAsuntos!I19/NºAsuntos!G19),NºAsuntos!I19/NºAsuntos!G19," - ")</f>
        <v>1.7072434607645874</v>
      </c>
      <c r="D19" s="810">
        <f>IF(ISNUMBER('Resol  Asuntos'!D19/NºAsuntos!G19),'Resol  Asuntos'!D19/NºAsuntos!G19," - ")</f>
        <v>0.14185110663983905</v>
      </c>
      <c r="E19" s="811">
        <f>IF(ISNUMBER((NºAsuntos!C19+NºAsuntos!E19)/NºAsuntos!G19),(NºAsuntos!C19+NºAsuntos!E19)/NºAsuntos!G19," - ")</f>
        <v>2.6891348088531188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ARAGÓN</v>
      </c>
      <c r="G2" s="263"/>
      <c r="H2" s="262"/>
      <c r="I2" s="262"/>
      <c r="J2" s="262"/>
      <c r="K2" s="262"/>
      <c r="L2" s="262" t="str">
        <f>Criterios!A10 &amp;"  "&amp;Criterios!B10</f>
        <v>Provincias  ZARAGOZA</v>
      </c>
      <c r="N2" s="262" t="str">
        <f>Criterios!A11 &amp;"  "&amp;Criterios!B11</f>
        <v>Resumenes por Partidos Judiciales  BARBASTRO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260</v>
      </c>
      <c r="Y12" s="334">
        <f t="shared" si="0"/>
        <v>260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1.4585152838427948</v>
      </c>
      <c r="AM12" s="260">
        <f>IF(ISNUMBER(((NºAsuntos!I12/NºAsuntos!G12)*11)/factor_trimestre),((NºAsuntos!I12/NºAsuntos!G12)*11)/factor_trimestre," - ")</f>
        <v>5.365269461077844</v>
      </c>
      <c r="AN12" s="244">
        <f>IF(ISNUMBER('Resol  Asuntos'!D12/NºAsuntos!G12),'Resol  Asuntos'!D12/NºAsuntos!G12," - ")</f>
        <v>0.22455089820359281</v>
      </c>
      <c r="AO12" s="245">
        <f>IF(ISNUMBER((NºAsuntos!C12+NºAsuntos!E12)/NºAsuntos!G12),(NºAsuntos!C12+NºAsuntos!E12)/NºAsuntos!G12," - ")</f>
        <v>3.682634730538922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103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260</v>
      </c>
      <c r="Y13" s="868">
        <f t="shared" si="4"/>
        <v>260</v>
      </c>
      <c r="Z13" s="868">
        <f t="shared" si="4"/>
        <v>0</v>
      </c>
      <c r="AA13" s="868">
        <f t="shared" si="4"/>
        <v>4</v>
      </c>
      <c r="AB13" s="868">
        <f t="shared" si="4"/>
        <v>1654</v>
      </c>
      <c r="AC13" s="868">
        <f t="shared" si="4"/>
        <v>4</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1.4521739130434783</v>
      </c>
      <c r="AM13" s="874">
        <f>IF(ISNUMBER(((NºAsuntos!I13/NºAsuntos!G13)*11)/factor_trimestre),((NºAsuntos!I13/NºAsuntos!G13)*11)/factor_trimestre," - ")</f>
        <v>5.3892215568862278</v>
      </c>
      <c r="AN13" s="875">
        <f>IF(ISNUMBER('Resol  Asuntos'!D13/NºAsuntos!G13),'Resol  Asuntos'!D13/NºAsuntos!G13," - ")</f>
        <v>0.22455089820359281</v>
      </c>
      <c r="AO13" s="876">
        <f>IF(ISNUMBER((NºAsuntos!C13+NºAsuntos!E13)/NºAsuntos!G13),(NºAsuntos!C13+NºAsuntos!E13)/NºAsuntos!G13," - ")</f>
        <v>3.6946107784431139</v>
      </c>
      <c r="AP13" s="877" t="str">
        <f t="shared" si="2"/>
        <v xml:space="preserve"> - </v>
      </c>
      <c r="AQ13" s="877">
        <f>IF(ISNUMBER((H13-W13+K13)/(F13)),(H13-W13+K13)/(F13)," - ")</f>
        <v>0</v>
      </c>
      <c r="AR13" s="878">
        <f>IF(ISNUMBER((Datos!P13-Datos!Q13)/(Datos!R13-Datos!P13+Datos!Q13)),(Datos!P13-Datos!Q13)/(Datos!R13-Datos!P13+Datos!Q13)," - ")</f>
        <v>-8.6692435118718936E-2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771</v>
      </c>
      <c r="G16" s="333">
        <f>IF(ISNUMBER(IF(D_I="SI",Datos!I16,Datos!I16+Datos!AC16)),IF(D_I="SI",Datos!I16,Datos!I16+Datos!AC16)," - ")</f>
        <v>753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610</v>
      </c>
      <c r="X16" s="226">
        <f>IF(ISNUMBER(Datos!Q16),Datos!Q16," - ")</f>
        <v>20</v>
      </c>
      <c r="Y16" s="334">
        <f t="shared" ref="Y16:Y17" si="7">SUM(W16:X16)</f>
        <v>630</v>
      </c>
      <c r="Z16" s="335" t="str">
        <f>IF(ISNUMBER(Datos!CC16),Datos!CC16," - ")</f>
        <v xml:space="preserve"> - </v>
      </c>
      <c r="AA16" s="332">
        <f>IF(ISNUMBER(IF(D_I="SI",Datos!L16,Datos!L16+Datos!AF16)),IF(D_I="SI",Datos!L16,Datos!L16+Datos!AF16)," - ")</f>
        <v>791</v>
      </c>
      <c r="AB16" s="334">
        <f>IF(ISNUMBER(Datos!R16),Datos!R16," - ")</f>
        <v>82</v>
      </c>
      <c r="AC16" s="334">
        <f t="shared" si="6"/>
        <v>873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0.96825396825396826</v>
      </c>
      <c r="AM16" s="260">
        <f>IF(ISNUMBER(((NºAsuntos!I16/NºAsuntos!G16)*11)/factor_trimestre),((NºAsuntos!I16/NºAsuntos!G16)*11)/factor_trimestre," - ")</f>
        <v>2.5934426229508198</v>
      </c>
      <c r="AN16" s="244">
        <f>IF(ISNUMBER('Resol  Asuntos'!D16/NºAsuntos!G16),'Resol  Asuntos'!D16/NºAsuntos!G16," - ")</f>
        <v>0.10491803278688525</v>
      </c>
      <c r="AO16" s="245">
        <f>IF(ISNUMBER((NºAsuntos!C16+NºAsuntos!E16)/NºAsuntos!G16),(NºAsuntos!C16+NºAsuntos!E16)/NºAsuntos!G16," - ")</f>
        <v>2.2672131147540981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1.2195121951219512</v>
      </c>
      <c r="AM17" s="260">
        <f>IF(ISNUMBER(((NºAsuntos!I17/NºAsuntos!G17)*11)/factor_trimestre),((NºAsuntos!I17/NºAsuntos!G17)*11)/factor_trimestre," - ")</f>
        <v>0.23999999999999996</v>
      </c>
      <c r="AN17" s="244">
        <f>IF(ISNUMBER('Resol  Asuntos'!D17/NºAsuntos!G17),'Resol  Asuntos'!D17/NºAsuntos!G17," - ")</f>
        <v>0.04</v>
      </c>
      <c r="AO17" s="245">
        <f>IF(ISNUMBER((NºAsuntos!C17+NºAsuntos!E17)/NºAsuntos!G17),(NºAsuntos!C17+NºAsuntos!E17)/NºAsuntos!G17," - ")</f>
        <v>1.1200000000000001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771</v>
      </c>
      <c r="G18" s="866">
        <f>SUBTOTAL(9,G15:G17)</f>
        <v>768</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660</v>
      </c>
      <c r="X18" s="867">
        <f t="shared" si="11"/>
        <v>20</v>
      </c>
      <c r="Y18" s="868">
        <f t="shared" si="11"/>
        <v>680</v>
      </c>
      <c r="Z18" s="868">
        <f t="shared" si="11"/>
        <v>0</v>
      </c>
      <c r="AA18" s="868">
        <f t="shared" si="11"/>
        <v>797</v>
      </c>
      <c r="AB18" s="868">
        <f t="shared" si="11"/>
        <v>82</v>
      </c>
      <c r="AC18" s="868">
        <f t="shared" si="11"/>
        <v>879</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0.98360655737704916</v>
      </c>
      <c r="AM18" s="874">
        <f>IF(ISNUMBER(((NºAsuntos!I18/NºAsuntos!G18)*11)/factor_trimestre),((NºAsuntos!I18/NºAsuntos!G18)*11)/factor_trimestre," - ")</f>
        <v>2.415151515151515</v>
      </c>
      <c r="AN18" s="875">
        <f>IF(ISNUMBER('Resol  Asuntos'!D18/NºAsuntos!G18),'Resol  Asuntos'!D18/NºAsuntos!G18," - ")</f>
        <v>0.1</v>
      </c>
      <c r="AO18" s="876">
        <f>IF(ISNUMBER((NºAsuntos!C18+NºAsuntos!E18)/NºAsuntos!G18),(NºAsuntos!C18+NºAsuntos!E18)/NºAsuntos!G18," - ")</f>
        <v>2.1803030303030302</v>
      </c>
      <c r="AP18" s="877" t="str">
        <f t="shared" si="2"/>
        <v xml:space="preserve"> - </v>
      </c>
      <c r="AQ18" s="877">
        <f>IF(ISNUMBER((H18-W18+K18)/(F18)),(H18-W18+K18)/(F18)," - ")</f>
        <v>-0.85603112840466922</v>
      </c>
      <c r="AR18" s="878">
        <f>IF(ISNUMBER((Datos!P18-Datos!Q18)/(Datos!R18-Datos!P18+Datos!Q18)),(Datos!P18-Datos!Q18)/(Datos!R18-Datos!P18+Datos!Q18)," - ")</f>
        <v>5.128205128205128E-2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774</v>
      </c>
      <c r="G19" s="821">
        <f t="shared" si="13"/>
        <v>771</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660</v>
      </c>
      <c r="X19" s="821">
        <f t="shared" si="14"/>
        <v>280</v>
      </c>
      <c r="Y19" s="828">
        <f t="shared" si="14"/>
        <v>940</v>
      </c>
      <c r="Z19" s="828">
        <f t="shared" si="14"/>
        <v>0</v>
      </c>
      <c r="AA19" s="828">
        <f t="shared" si="14"/>
        <v>801</v>
      </c>
      <c r="AB19" s="828">
        <f t="shared" si="14"/>
        <v>1736</v>
      </c>
      <c r="AC19" s="828">
        <f t="shared" si="14"/>
        <v>883</v>
      </c>
      <c r="AD19" s="828">
        <f t="shared" si="14"/>
        <v>0</v>
      </c>
      <c r="AE19" s="830">
        <f t="shared" si="14"/>
        <v>0</v>
      </c>
      <c r="AF19" s="831">
        <f t="shared" si="14"/>
        <v>0</v>
      </c>
      <c r="AG19" s="832">
        <f t="shared" si="14"/>
        <v>0</v>
      </c>
      <c r="AH19" s="830">
        <f t="shared" si="14"/>
        <v>0</v>
      </c>
      <c r="AI19" s="820">
        <f t="shared" si="14"/>
        <v>141</v>
      </c>
      <c r="AJ19" s="820">
        <f t="shared" si="14"/>
        <v>0</v>
      </c>
      <c r="AK19" s="830">
        <f t="shared" si="14"/>
        <v>0</v>
      </c>
      <c r="AL19" s="884">
        <f>IF(ISNUMBER(NºAsuntos!G19/NºAsuntos!E19),NºAsuntos!G19/NºAsuntos!E19," - ")</f>
        <v>1.1032186459489457</v>
      </c>
      <c r="AM19" s="885">
        <f>IF(ISNUMBER(((NºAsuntos!I19/NºAsuntos!G19)*11)/factor_trimestre),((NºAsuntos!I19/NºAsuntos!G19)*11)/factor_trimestre," - ")</f>
        <v>3.4144869215291749</v>
      </c>
      <c r="AN19" s="885">
        <f>IF(ISNUMBER('Resol  Asuntos'!D19/NºAsuntos!G19),'Resol  Asuntos'!D19/NºAsuntos!G19," - ")</f>
        <v>0.14185110663983905</v>
      </c>
      <c r="AO19" s="886">
        <f>IF(ISNUMBER((NºAsuntos!C19+NºAsuntos!E19)/NºAsuntos!G19),(NºAsuntos!C19+NºAsuntos!E19)/NºAsuntos!G19," - ")</f>
        <v>2.6891348088531188</v>
      </c>
      <c r="AP19" s="887" t="str">
        <f t="shared" si="2"/>
        <v xml:space="preserve"> - </v>
      </c>
      <c r="AQ19" s="888">
        <f>IF(OR(ISNUMBER(FIND("01",Criterios!A8,1)),ISNUMBER(FIND("02",Criterios!A8,1)),ISNUMBER(FIND("03",Criterios!A8,1)),ISNUMBER(FIND("04",Criterios!A8,1))),(I19-W19+K19)/(F19-K19),(H19-W19+K19)/(F19-K19))</f>
        <v>-0.8527131782945736</v>
      </c>
      <c r="AR19" s="889">
        <f>IF(ISNUMBER((Datos!P19-Datos!Q19)/(Datos!R19-Datos!P19+Datos!Q19)),(Datos!P19-Datos!Q19)/(Datos!R19-Datos!P19+Datos!Q19)," - ")</f>
        <v>-8.0995235574377974E-2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308.39999999999998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443.40500673763256</v>
      </c>
      <c r="G21" s="253">
        <f>IF(ISNUMBER(STDEV(G8:G18)),STDEV(G8:G18),"-")</f>
        <v>412.77209207987886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339.74990802059091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35.92213802100315</v>
      </c>
      <c r="AJ21" s="252">
        <f t="shared" si="18"/>
        <v>0</v>
      </c>
      <c r="AK21" s="254">
        <f t="shared" si="18"/>
        <v>0</v>
      </c>
      <c r="AL21" s="249">
        <f t="shared" si="18"/>
        <v>0.54093203135575052</v>
      </c>
      <c r="AM21" s="250">
        <f t="shared" si="18"/>
        <v>2.1924062098751143</v>
      </c>
      <c r="AN21" s="250">
        <f t="shared" si="18"/>
        <v>8.2342729959962266E-2</v>
      </c>
      <c r="AO21" s="251">
        <f t="shared" si="18"/>
        <v>1.1007898435265149</v>
      </c>
      <c r="AP21" s="291" t="str">
        <f t="shared" si="18"/>
        <v>-</v>
      </c>
      <c r="AQ21" s="292">
        <f t="shared" si="18"/>
        <v>0.60530541580171382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nov. 2024</v>
      </c>
      <c r="D30" s="120"/>
    </row>
    <row r="32" spans="1:65">
      <c r="C32" s="1"/>
      <c r="D32" s="1"/>
    </row>
  </sheetData>
  <sheetProtection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ARAGÓN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BARBASTRO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v>
      </c>
      <c r="F10" s="348">
        <f>IF(ISNUMBER((Datos!K10-Datos!U10)/Datos!U10),(Datos!K10-Datos!U10)/Datos!U10," - ")</f>
        <v>-1</v>
      </c>
      <c r="G10" s="349">
        <f>IF(ISNUMBER((Datos!L10-Datos!V10)/Datos!V10),(Datos!L10-Datos!V10)/Datos!V10," - ")</f>
        <v>0.33333333333333331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0.7857142857142857</v>
      </c>
      <c r="I12" s="350">
        <f>IF(ISNUMBER((Tasas!C12-Datos!BE12)/Datos!BE12),(Tasas!C12-Datos!BE12)/Datos!BE12," - ")</f>
        <v>-0.46236452714405901</v>
      </c>
      <c r="J12" s="349">
        <f>IF(ISNUMBER((Tasas!D12-Datos!BF12)/Datos!BF12),(Tasas!D12-Datos!BF12)/Datos!BF12," - ")</f>
        <v>-0.24891596118108611</v>
      </c>
      <c r="K12" s="351">
        <f>IF(ISNUMBER((Tasas!E12-Datos!BG12)/Datos!BG12),(Tasas!E12-Datos!BG12)/Datos!BG12," - ")</f>
        <v>-0.38728032785201472</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0.70454545454545459</v>
      </c>
      <c r="I13" s="357">
        <f>IF(ISNUMBER((Tasas!C13-Datos!BE13)/Datos!BE13),(Tasas!C13-Datos!BE13)/Datos!BE13," - ")</f>
        <v>-0.45608268529881529</v>
      </c>
      <c r="J13" s="355">
        <f>IF(ISNUMBER((Tasas!D13-Datos!BF13)/Datos!BF13),(Tasas!D13-Datos!BF13)/Datos!BF13," - ")</f>
        <v>-0.26646706586826352</v>
      </c>
      <c r="K13" s="358">
        <f>IF(ISNUMBER((Tasas!E13-Datos!BG13)/Datos!BG13),(Tasas!E13-Datos!BG13)/Datos!BG13," - ")</f>
        <v>-0.38160229498304837</v>
      </c>
      <c r="M13" t="e">
        <f>IF(Monitorios="SI",Datos!CE13,0)</f>
        <v>#REF!</v>
      </c>
      <c r="N13" t="e">
        <f>IF(Monitorios="SI",Datos!CF13,0)</f>
        <v>#REF!</v>
      </c>
      <c r="O13" t="e">
        <f>IF(Monitorios="SI",Datos!CG13,0)</f>
        <v>#REF!</v>
      </c>
      <c r="P13" t="e">
        <f>IF(Monitorios="SI",Datos!CH13,0)</f>
        <v>#REF!</v>
      </c>
      <c r="Q13">
        <f>IF(J_V="SI",0,Datos!AG13)</f>
        <v>0</v>
      </c>
      <c r="R13">
        <f>IF(J_V="SI",0,Datos!AH13)</f>
        <v>0</v>
      </c>
      <c r="S13">
        <f>IF(J_V="SI",0,Datos!AI13)</f>
        <v>0</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0.15490797546012269</v>
      </c>
      <c r="E16" s="348">
        <f>IF(ISNUMBER(
   IF(D_I="SI",(Datos!J16-Datos!T16)/Datos!T16,(Datos!J16+Datos!AD16-(Datos!T16+Datos!AL16))/(Datos!T16+Datos!AL16))
     ),IF(D_I="SI",(Datos!J16-Datos!T16)/Datos!T16,(Datos!J16+Datos!AD16-(Datos!T16+Datos!AL16))/(Datos!T16+Datos!AL16))," - ")</f>
        <v>0.2138728323699422</v>
      </c>
      <c r="F16" s="348">
        <f>IF(ISNUMBER(
   IF(D_I="SI",(Datos!K16-Datos!U16)/Datos!U16,(Datos!K16+Datos!AE16-(Datos!U16+Datos!AM16))/(Datos!U16+Datos!AM16))
     ),IF(D_I="SI",(Datos!K16-Datos!U16)/Datos!U16,(Datos!K16+Datos!AE16-(Datos!U16+Datos!AM16))/(Datos!U16+Datos!AM16))," - ")</f>
        <v>5.7192374350086658E-2</v>
      </c>
      <c r="G16" s="349">
        <f>IF(ISNUMBER(
   IF(D_I="SI",(Datos!L16-Datos!V16)/Datos!V16,(Datos!L16+Datos!AF16-(Datos!V16+Datos!AN16))/(Datos!V16+Datos!AN16))
     ),IF(D_I="SI",(Datos!L16-Datos!V16)/Datos!V16,(Datos!L16+Datos!AF16-(Datos!V16+Datos!AN16))/(Datos!V16+Datos!AN16))," - ")</f>
        <v>-0.14854682454251883</v>
      </c>
      <c r="H16" s="230">
        <f>IF(ISNUMBER((Datos!M16-Datos!W16)/Datos!W16),(Datos!M16-Datos!W16)/Datos!W16," - ")</f>
        <v>3.2258064516129031E-2</v>
      </c>
      <c r="I16" s="350">
        <f>IF(ISNUMBER((Tasas!C16-Datos!BE16)/Datos!BE16),(Tasas!C16-Datos!BE16)/Datos!BE16," - ")</f>
        <v>-0.19460904550989069</v>
      </c>
      <c r="J16" s="349">
        <f>IF(ISNUMBER((Tasas!D16-Datos!BF16)/Datos!BF16),(Tasas!D16-Datos!BF16)/Datos!BF16," - ")</f>
        <v>-2.3585404547858235E-2</v>
      </c>
      <c r="K16" s="351">
        <f>IF(ISNUMBER((Tasas!E16-Datos!BG16)/Datos!BG16),(Tasas!E16-Datos!BG16)/Datos!BG16," - ")</f>
        <v>0.11714941691982451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7.8947368421052627E-2</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-0.86046511627906974</v>
      </c>
      <c r="H17" s="230">
        <f>IF(ISNUMBER((Datos!M17-Datos!W17)/Datos!W17),(Datos!M17-Datos!W17)/Datos!W17," - ")</f>
        <v>0</v>
      </c>
      <c r="I17" s="350">
        <f>IF(ISNUMBER((Tasas!C17-Datos!BE17)/Datos!BE17),(Tasas!C17-Datos!BE17)/Datos!BE17," - ")</f>
        <v>-0.84651162790697676</v>
      </c>
      <c r="J17" s="349">
        <f>IF(ISNUMBER((Tasas!D17-Datos!BF17)/Datos!BF17),(Tasas!D17-Datos!BF17)/Datos!BF17," - ")</f>
        <v>0.10000000000000007</v>
      </c>
      <c r="K17" s="351">
        <f>IF(ISNUMBER((Tasas!E17-Datos!BG17)/Datos!BG17),(Tasas!E17-Datos!BG17)/Datos!BG17," - ")</f>
        <v>-0.37142857142857133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7.8651685393258425E-2</v>
      </c>
      <c r="E18" s="354">
        <f>IF(ISNUMBER(
   IF(D_I="SI",(Datos!J18-Datos!T18)/Datos!T18,(Datos!J18+Datos!AD18-(Datos!T18+Datos!AL18))/(Datos!T18+Datos!AL18))
     ),IF(D_I="SI",(Datos!J18-Datos!T18)/Datos!T18,(Datos!J18+Datos!AD18-(Datos!T18+Datos!AL18))/(Datos!T18+Datos!AL18))," - ")</f>
        <v>0.20466786355475763</v>
      </c>
      <c r="F18" s="354">
        <f>IF(ISNUMBER(
   IF(D_I="SI",(Datos!K18-Datos!U18)/Datos!U18,(Datos!K18+Datos!AE18-(Datos!U18+Datos!AM18))/(Datos!U18+Datos!AM18))
     ),IF(D_I="SI",(Datos!K18-Datos!U18)/Datos!U18,(Datos!K18+Datos!AE18-(Datos!U18+Datos!AM18))/(Datos!U18+Datos!AM18))," - ")</f>
        <v>4.4303797468354431E-2</v>
      </c>
      <c r="G18" s="355">
        <f>IF(ISNUMBER(
   IF(D_I="SI",(Datos!L18-Datos!V18)/Datos!V18,(Datos!L18+Datos!AF18-(Datos!V18+Datos!AN18))/(Datos!V18+Datos!AN18))
     ),IF(D_I="SI",(Datos!L18-Datos!V18)/Datos!V18,(Datos!L18+Datos!AF18-(Datos!V18+Datos!AN18))/(Datos!V18+Datos!AN18))," - ")</f>
        <v>-0.1800411522633745</v>
      </c>
      <c r="H18" s="356">
        <f>IF(ISNUMBER((Datos!M18-Datos!W18)/Datos!W18),(Datos!M18-Datos!W18)/Datos!W18," - ")</f>
        <v>3.125E-2</v>
      </c>
      <c r="I18" s="357">
        <f>IF(ISNUMBER((Tasas!C18-Datos!BE18)/Datos!BE18),(Tasas!C18-Datos!BE18)/Datos!BE18," - ")</f>
        <v>-0.21482728519765559</v>
      </c>
      <c r="J18" s="355">
        <f>IF(ISNUMBER((Tasas!D18-Datos!BF18)/Datos!BF18),(Tasas!D18-Datos!BF18)/Datos!BF18," - ")</f>
        <v>-1.249999999999993E-2</v>
      </c>
      <c r="K18" s="358">
        <f>IF(ISNUMBER((Tasas!E18-Datos!BG18)/Datos!BG18),(Tasas!E18-Datos!BG18)/Datos!BG18," - ")</f>
        <v>8.5856197912935542E-2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0.12436548223350254</v>
      </c>
      <c r="E19" s="363">
        <f>IF(ISNUMBER(
   IF(J_V="SI",(Datos!J19-Datos!T19)/Datos!T19,(Datos!J19+Datos!Z19-(Datos!T19+Datos!AH19))/(Datos!T19+Datos!AH19))
     ),IF(J_V="SI",(Datos!J19-Datos!T19)/Datos!T19,(Datos!J19+Datos!Z19-(Datos!T19+Datos!AH19))/(Datos!T19+Datos!AH19))," - ")</f>
        <v>4.2824074074074077E-2</v>
      </c>
      <c r="F19" s="363">
        <f>IF(ISNUMBER(
   IF(J_V="SI",(Datos!K19-Datos!U19)/Datos!U19,(Datos!K19+Datos!AA19-(Datos!U19+Datos!AI19))/(Datos!U19+Datos!AI19))
     ),IF(J_V="SI",(Datos!K19-Datos!U19)/Datos!U19,(Datos!K19+Datos!AA19-(Datos!U19+Datos!AI19))/(Datos!U19+Datos!AI19))," - ")</f>
        <v>0.20048309178743962</v>
      </c>
      <c r="G19" s="364">
        <f>IF(ISNUMBER(
   IF(J_V="SI",(Datos!L19-Datos!V19)/Datos!V19,(Datos!L19+Datos!AB19-(Datos!V19+Datos!AJ19))/(Datos!V19+Datos!AJ19))
     ),IF(J_V="SI",(Datos!L19-Datos!V19)/Datos!V19,(Datos!L19+Datos!AB19-(Datos!V19+Datos!AJ19))/(Datos!V19+Datos!AJ19))," - ")</f>
        <v>-0.12660833762223367</v>
      </c>
      <c r="H19" s="365">
        <f>IF(ISNUMBER((Datos!M19-Datos!W19)/Datos!W19),(Datos!M19-Datos!W19)/Datos!W19," - ")</f>
        <v>0.30555555555555558</v>
      </c>
      <c r="I19" s="362">
        <f>IF(ISNUMBER((Tasas!C19-Datos!BE19)/Datos!BE19),(Tasas!C19-Datos!BE19)/Datos!BE19," - ")</f>
        <v>-0.27246650256660915</v>
      </c>
      <c r="J19" s="363">
        <f>IF(ISNUMBER((Tasas!D19-Datos!BF19)/Datos!BF19),(Tasas!D19-Datos!BF19)/Datos!BF19," - ")</f>
        <v>-5.2800675017848936E-2</v>
      </c>
      <c r="K19" s="364">
        <f>IF(ISNUMBER((Tasas!E19-Datos!BG19)/Datos!BG19),(Tasas!E19-Datos!BG19)/Datos!BG19," - ")</f>
        <v>-8.7457532077712202E-2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0.41873018858682948</v>
      </c>
      <c r="E21" s="278">
        <f t="shared" si="1"/>
        <v>0.33855655968805609</v>
      </c>
      <c r="F21" s="278">
        <f t="shared" si="1"/>
        <v>0.50621595386684681</v>
      </c>
      <c r="G21" s="279">
        <f t="shared" si="1"/>
        <v>0.490893140519369</v>
      </c>
      <c r="H21" s="285">
        <f t="shared" si="1"/>
        <v>0.64259451983161475</v>
      </c>
      <c r="I21" s="277">
        <f t="shared" si="1"/>
        <v>0.26305839610643839</v>
      </c>
      <c r="J21" s="278">
        <f t="shared" si="1"/>
        <v>0.16039920922892906</v>
      </c>
      <c r="K21" s="279">
        <f t="shared" si="1"/>
        <v>0.26407975609142842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ARAGÓN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29.508982035928142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771</v>
      </c>
      <c r="D16" s="225">
        <f>IF(ISNUMBER(IF(D_I="SI",Datos!I16,Datos!I16+Datos!AC16)),IF(D_I="SI",Datos!I16,Datos!I16+Datos!AC16)," - ")</f>
        <v>753</v>
      </c>
      <c r="E16" s="226">
        <f>IF(ISNUMBER(IF(D_I="SI",Datos!J16,Datos!J16+Datos!AD16)),IF(D_I="SI",Datos!J16,Datos!J16+Datos!AD16)," - ")</f>
        <v>630</v>
      </c>
      <c r="F16" s="226">
        <f>IF(ISNUMBER(IF(D_I="SI",Datos!K16,Datos!K16+Datos!AE16)),IF(D_I="SI",Datos!K16,Datos!K16+Datos!AE16)," - ")</f>
        <v>610</v>
      </c>
      <c r="G16" s="1034" t="str">
        <f>IF(Datos!E16&lt;&gt;"",Datos!E16,Datos!D16)</f>
        <v>04</v>
      </c>
      <c r="H16" s="227">
        <f>IF(ISNUMBER(IF(D_I="SI",Datos!L16,Datos!L16+Datos!AF16)),IF(D_I="SI",Datos!L16,Datos!L16+Datos!AF16)," - ")</f>
        <v>791</v>
      </c>
      <c r="I16" s="1044" t="str">
        <f>IF(ISNUMBER(Datos!AS16/Datos!BM16),Datos!AS16/Datos!BM16," - ")</f>
        <v xml:space="preserve"> - </v>
      </c>
      <c r="J16" s="1045">
        <f>IF(ISNUMBER(Datos!BY16/Datos!CN16),Datos!BY16/Datos!CN16," - ")</f>
        <v>0</v>
      </c>
      <c r="K16" s="230">
        <f t="shared" si="3"/>
        <v>2.5940337224383919E-2</v>
      </c>
      <c r="L16" s="1025">
        <f>IF(ISNUMBER(NºAsuntos!I16/NºAsuntos!G16),(NºAsuntos!I16/NºAsuntos!G16)*11," - ")</f>
        <v>14.263934426229509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41</v>
      </c>
      <c r="F17" s="226">
        <f>IF(ISNUMBER(IF(D_I="SI",Datos!K17,Datos!K17+Datos!AE17)),IF(D_I="SI",Datos!K17,Datos!K17+Datos!AE17)," - ")</f>
        <v>50</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1.3199999999999998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786</v>
      </c>
      <c r="D18" s="1049">
        <f>SUBTOTAL(9,D15:D17)</f>
        <v>768</v>
      </c>
      <c r="E18" s="1050">
        <f>SUBTOTAL(9,E15:E17)</f>
        <v>671</v>
      </c>
      <c r="F18" s="1050">
        <f>SUBTOTAL(9,F15:F17)</f>
        <v>660</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789</v>
      </c>
      <c r="D19" s="1071">
        <f>SUBTOTAL(9,D9:D18)</f>
        <v>771</v>
      </c>
      <c r="E19" s="1072">
        <f>SUBTOTAL(9,E9:E18)</f>
        <v>672</v>
      </c>
      <c r="F19" s="1072">
        <f>SUBTOTAL(9,F9:F18)</f>
        <v>660</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ARAGÓN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t="str">
        <f>IF(ISNUMBER(IF(J_V="SI",S9,S9+AG9)),IF(J_V="SI",S9,S9+AG9)," - ")</f>
        <v xml:space="preserve"> - </v>
      </c>
      <c r="AZ9" s="123" t="str">
        <f>IF(ISNUMBER(IF(J_V="SI",T9,T9+AH9)),IF(J_V="SI",T9,T9+AH9)," - ")</f>
        <v xml:space="preserve"> - </v>
      </c>
      <c r="BA9" s="124" t="str">
        <f>IF(ISNUMBER(IF(J_V="SI",U9,U9+AI9)),IF(J_V="SI",U9,U9+AI9)," - ")</f>
        <v xml:space="preserve"> - </v>
      </c>
      <c r="BB9" s="124" t="str">
        <f>IF(ISNUMBER(IF(J_V="SI",V9,V9+AJ9)),IF(J_V="SI",V9,V9+AJ9)," - ")</f>
        <v xml:space="preserve"> - </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0</v>
      </c>
      <c r="L10" s="181">
        <v>4</v>
      </c>
      <c r="M10" s="181">
        <v>0</v>
      </c>
      <c r="N10" s="181">
        <v>0</v>
      </c>
      <c r="O10" s="181">
        <v>0</v>
      </c>
      <c r="P10" s="181">
        <v>0</v>
      </c>
      <c r="Q10" s="181">
        <v>0</v>
      </c>
      <c r="R10" s="181">
        <v>0</v>
      </c>
      <c r="S10" s="181">
        <v>3</v>
      </c>
      <c r="T10" s="181">
        <v>2</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2</v>
      </c>
      <c r="BB10" s="129">
        <f t="shared" si="0"/>
        <v>3</v>
      </c>
      <c r="BC10" s="125">
        <f t="shared" si="0"/>
        <v>2</v>
      </c>
      <c r="BD10" s="126">
        <f>IF(ISNUMBER(BA10/AZ10),BA10/AZ10," - ")</f>
        <v>1</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t="str">
        <f t="shared" ref="AY11:BB12" si="1">IF(ISNUMBER(IF(J_V="SI",S11,S11+AG11)),IF(J_V="SI",S11,S11+AG11)," - ")</f>
        <v xml:space="preserve"> - </v>
      </c>
      <c r="AZ11" s="127" t="str">
        <f t="shared" si="1"/>
        <v xml:space="preserve"> - </v>
      </c>
      <c r="BA11" s="127" t="str">
        <f t="shared" si="1"/>
        <v xml:space="preserve"> - </v>
      </c>
      <c r="BB11" s="127" t="str">
        <f t="shared" si="1"/>
        <v xml:space="preserve"> - </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1001</v>
      </c>
      <c r="J12" s="183">
        <v>229</v>
      </c>
      <c r="K12" s="183">
        <v>334</v>
      </c>
      <c r="L12" s="183">
        <v>896</v>
      </c>
      <c r="M12" s="183">
        <v>75</v>
      </c>
      <c r="N12" s="183">
        <v>118</v>
      </c>
      <c r="O12" s="181">
        <v>154</v>
      </c>
      <c r="P12" s="183">
        <v>103</v>
      </c>
      <c r="Q12" s="183">
        <v>260</v>
      </c>
      <c r="R12" s="183">
        <v>1654</v>
      </c>
      <c r="S12" s="183">
        <v>861</v>
      </c>
      <c r="T12" s="183">
        <v>305</v>
      </c>
      <c r="U12" s="183">
        <v>194</v>
      </c>
      <c r="V12" s="183">
        <v>968</v>
      </c>
      <c r="W12" s="183">
        <v>42</v>
      </c>
      <c r="X12" s="189">
        <v>58</v>
      </c>
      <c r="Y12" s="191">
        <v>91</v>
      </c>
      <c r="Z12" s="181">
        <v>23</v>
      </c>
      <c r="AA12" s="181">
        <v>26</v>
      </c>
      <c r="AB12" s="181">
        <v>88</v>
      </c>
      <c r="AC12" s="183">
        <v>0</v>
      </c>
      <c r="AD12" s="183">
        <v>0</v>
      </c>
      <c r="AE12" s="183">
        <v>0</v>
      </c>
      <c r="AF12" s="189">
        <v>0</v>
      </c>
      <c r="AG12" s="202">
        <v>123</v>
      </c>
      <c r="AH12" s="183">
        <v>22</v>
      </c>
      <c r="AI12" s="183">
        <v>14</v>
      </c>
      <c r="AJ12" s="203">
        <v>131</v>
      </c>
      <c r="AK12" s="182">
        <v>0</v>
      </c>
      <c r="AL12" s="183">
        <v>0</v>
      </c>
      <c r="AM12" s="183">
        <v>0</v>
      </c>
      <c r="AN12" s="189">
        <v>0</v>
      </c>
      <c r="AO12" s="259">
        <v>2</v>
      </c>
      <c r="AP12" s="155">
        <v>2</v>
      </c>
      <c r="AQ12" s="155">
        <v>2</v>
      </c>
      <c r="AR12" s="154">
        <v>2</v>
      </c>
      <c r="AS12" s="340" t="s">
        <v>802</v>
      </c>
      <c r="AT12" s="203"/>
      <c r="AU12" s="202"/>
      <c r="AV12" s="203"/>
      <c r="AW12" s="202"/>
      <c r="AX12" s="203"/>
      <c r="AY12" s="126">
        <f t="shared" si="1"/>
        <v>861</v>
      </c>
      <c r="AZ12" s="127">
        <f t="shared" si="1"/>
        <v>305</v>
      </c>
      <c r="BA12" s="127">
        <f t="shared" si="1"/>
        <v>194</v>
      </c>
      <c r="BB12" s="127">
        <f t="shared" si="1"/>
        <v>968</v>
      </c>
      <c r="BC12" s="125">
        <f>IF(ISNUMBER(X12),X12," - ")</f>
        <v>58</v>
      </c>
      <c r="BD12" s="126">
        <f t="shared" si="2"/>
        <v>0.63606557377049178</v>
      </c>
      <c r="BE12" s="127">
        <f t="shared" si="3"/>
        <v>4.9896907216494846</v>
      </c>
      <c r="BF12" s="127">
        <f t="shared" si="4"/>
        <v>0.29896907216494845</v>
      </c>
      <c r="BG12" s="196">
        <f t="shared" si="5"/>
        <v>6.0103092783505154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1004</v>
      </c>
      <c r="J13" s="184">
        <f t="shared" si="6"/>
        <v>230</v>
      </c>
      <c r="K13" s="184">
        <f t="shared" si="6"/>
        <v>334</v>
      </c>
      <c r="L13" s="184">
        <f t="shared" si="6"/>
        <v>900</v>
      </c>
      <c r="M13" s="184">
        <f t="shared" si="6"/>
        <v>75</v>
      </c>
      <c r="N13" s="184">
        <f t="shared" si="6"/>
        <v>118</v>
      </c>
      <c r="O13" s="184">
        <f t="shared" si="6"/>
        <v>154</v>
      </c>
      <c r="P13" s="184">
        <f t="shared" si="6"/>
        <v>103</v>
      </c>
      <c r="Q13" s="184">
        <f t="shared" si="6"/>
        <v>260</v>
      </c>
      <c r="R13" s="184">
        <f t="shared" si="6"/>
        <v>1654</v>
      </c>
      <c r="S13" s="184">
        <f t="shared" si="6"/>
        <v>864</v>
      </c>
      <c r="T13" s="184">
        <f t="shared" si="6"/>
        <v>307</v>
      </c>
      <c r="U13" s="184">
        <f t="shared" si="6"/>
        <v>196</v>
      </c>
      <c r="V13" s="184">
        <f t="shared" si="6"/>
        <v>971</v>
      </c>
      <c r="W13" s="184">
        <f t="shared" si="6"/>
        <v>44</v>
      </c>
      <c r="X13" s="184">
        <f t="shared" si="6"/>
        <v>58</v>
      </c>
      <c r="Y13" s="184">
        <f t="shared" si="6"/>
        <v>91</v>
      </c>
      <c r="Z13" s="184">
        <f t="shared" si="6"/>
        <v>23</v>
      </c>
      <c r="AA13" s="184">
        <f t="shared" si="6"/>
        <v>26</v>
      </c>
      <c r="AB13" s="184">
        <f t="shared" si="6"/>
        <v>88</v>
      </c>
      <c r="AC13" s="184">
        <f t="shared" si="6"/>
        <v>0</v>
      </c>
      <c r="AD13" s="184">
        <f t="shared" si="6"/>
        <v>0</v>
      </c>
      <c r="AE13" s="184">
        <f t="shared" si="6"/>
        <v>0</v>
      </c>
      <c r="AF13" s="184">
        <f>SUBTOTAL(9,AF9:AF12)</f>
        <v>0</v>
      </c>
      <c r="AG13" s="184">
        <f t="shared" ref="AG13:AT13" si="7">SUBTOTAL(9,AG8:AG12)</f>
        <v>123</v>
      </c>
      <c r="AH13" s="184">
        <f t="shared" si="7"/>
        <v>22</v>
      </c>
      <c r="AI13" s="184">
        <f t="shared" si="7"/>
        <v>14</v>
      </c>
      <c r="AJ13" s="184">
        <f t="shared" si="7"/>
        <v>131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864</v>
      </c>
      <c r="AZ13" s="184">
        <f>SUBTOTAL(9,AZ8:AZ12)</f>
        <v>307</v>
      </c>
      <c r="BA13" s="184">
        <f>SUBTOTAL(9,BA8:BA12)</f>
        <v>196</v>
      </c>
      <c r="BB13" s="184">
        <f>SUBTOTAL(9,BB8:BB12)</f>
        <v>971</v>
      </c>
      <c r="BC13" s="184">
        <f>SUBTOTAL(9,BC8:BC12)</f>
        <v>60</v>
      </c>
      <c r="BD13" s="205">
        <f>IF(ISNUMBER(BA13/AZ13),BA13/AZ13," - ")</f>
        <v>0.6384364820846905</v>
      </c>
      <c r="BE13" s="206">
        <f>IF(ISNUMBER(BB13/BA13),BB13/BA13, " - ")</f>
        <v>4.954081632653061</v>
      </c>
      <c r="BF13" s="206">
        <f>IF(ISNUMBER(BC13/BA13),BC13/BA13, " - ")</f>
        <v>0.30612244897959184</v>
      </c>
      <c r="BG13" s="207">
        <f>IF(ISNUMBER((AY13+AZ13)/BA13),(AY13+AZ13)/BA13," - ")</f>
        <v>5.9744897959183669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753</v>
      </c>
      <c r="J16" s="183">
        <v>630</v>
      </c>
      <c r="K16" s="183">
        <v>610</v>
      </c>
      <c r="L16" s="183">
        <v>791</v>
      </c>
      <c r="M16" s="183">
        <v>64</v>
      </c>
      <c r="N16" s="183">
        <v>337</v>
      </c>
      <c r="O16" s="181">
        <v>19</v>
      </c>
      <c r="P16" s="183">
        <v>24</v>
      </c>
      <c r="Q16" s="183">
        <v>20</v>
      </c>
      <c r="R16" s="183">
        <v>82</v>
      </c>
      <c r="S16" s="183">
        <v>652</v>
      </c>
      <c r="T16" s="183">
        <v>519</v>
      </c>
      <c r="U16" s="183">
        <v>577</v>
      </c>
      <c r="V16" s="183">
        <v>929</v>
      </c>
      <c r="W16" s="183">
        <v>62</v>
      </c>
      <c r="X16" s="189">
        <v>376</v>
      </c>
      <c r="Y16" s="202">
        <v>0</v>
      </c>
      <c r="Z16" s="183">
        <v>0</v>
      </c>
      <c r="AA16" s="183">
        <v>0</v>
      </c>
      <c r="AB16" s="183">
        <v>0</v>
      </c>
      <c r="AC16" s="183">
        <v>2</v>
      </c>
      <c r="AD16" s="183">
        <v>15</v>
      </c>
      <c r="AE16" s="183">
        <v>15</v>
      </c>
      <c r="AF16" s="189">
        <v>2</v>
      </c>
      <c r="AG16" s="202">
        <v>0</v>
      </c>
      <c r="AH16" s="183">
        <v>0</v>
      </c>
      <c r="AI16" s="183">
        <v>0</v>
      </c>
      <c r="AJ16" s="203">
        <v>0</v>
      </c>
      <c r="AK16" s="182">
        <v>29</v>
      </c>
      <c r="AL16" s="183">
        <v>0</v>
      </c>
      <c r="AM16" s="183">
        <v>27</v>
      </c>
      <c r="AN16" s="189">
        <v>2</v>
      </c>
      <c r="AO16" s="259">
        <v>2</v>
      </c>
      <c r="AP16" s="155">
        <v>2</v>
      </c>
      <c r="AQ16" s="155">
        <v>2</v>
      </c>
      <c r="AR16" s="155">
        <v>2</v>
      </c>
      <c r="AS16" s="340" t="s">
        <v>487</v>
      </c>
      <c r="AT16" s="203"/>
      <c r="AU16" s="202"/>
      <c r="AV16" s="203"/>
      <c r="AW16" s="202"/>
      <c r="AX16" s="203"/>
      <c r="AY16" s="126">
        <f t="shared" si="9"/>
        <v>652</v>
      </c>
      <c r="AZ16" s="127">
        <f t="shared" si="9"/>
        <v>519</v>
      </c>
      <c r="BA16" s="127">
        <f t="shared" si="9"/>
        <v>577</v>
      </c>
      <c r="BB16" s="127">
        <f t="shared" si="9"/>
        <v>929</v>
      </c>
      <c r="BC16" s="125">
        <f>IF(ISNUMBER(W16),W16," - ")</f>
        <v>62</v>
      </c>
      <c r="BD16" s="126">
        <f t="shared" ref="BD16" si="11">IF(ISNUMBER(BA16/AZ16),BA16/AZ16," - ")</f>
        <v>1.1117533718689787</v>
      </c>
      <c r="BE16" s="127">
        <f t="shared" ref="BE16" si="12">IF(ISNUMBER(BB16/BA16),BB16/BA16, " - ")</f>
        <v>1.6100519930675909</v>
      </c>
      <c r="BF16" s="127">
        <f t="shared" ref="BF16" si="13">IF(ISNUMBER(BC16/BA16),BC16/BA16, " - ")</f>
        <v>0.10745233968804159</v>
      </c>
      <c r="BG16" s="196">
        <f t="shared" si="10"/>
        <v>2.02946273830156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41</v>
      </c>
      <c r="K17" s="183">
        <v>50</v>
      </c>
      <c r="L17" s="183">
        <v>6</v>
      </c>
      <c r="M17" s="183">
        <v>2</v>
      </c>
      <c r="N17" s="183">
        <v>20</v>
      </c>
      <c r="O17" s="183">
        <v>0</v>
      </c>
      <c r="P17" s="183">
        <v>0</v>
      </c>
      <c r="Q17" s="183">
        <v>0</v>
      </c>
      <c r="R17" s="183">
        <v>0</v>
      </c>
      <c r="S17" s="183">
        <v>60</v>
      </c>
      <c r="T17" s="183">
        <v>38</v>
      </c>
      <c r="U17" s="183">
        <v>55</v>
      </c>
      <c r="V17" s="183">
        <v>43</v>
      </c>
      <c r="W17" s="183">
        <v>2</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38</v>
      </c>
      <c r="BA17" s="129">
        <f t="shared" si="14"/>
        <v>55</v>
      </c>
      <c r="BB17" s="129">
        <f t="shared" si="14"/>
        <v>43</v>
      </c>
      <c r="BC17" s="125">
        <f>IF(ISNUMBER(W17),W17," - ")</f>
        <v>2</v>
      </c>
      <c r="BD17" s="126">
        <f>IF(ISNUMBER(BA17/AZ17),BA17/AZ17," - ")</f>
        <v>1.4473684210526316</v>
      </c>
      <c r="BE17" s="127">
        <f>IF(ISNUMBER(BB17/BA17),BB17/BA17, " - ")</f>
        <v>0.78181818181818186</v>
      </c>
      <c r="BF17" s="127">
        <f>IF(ISNUMBER(BC17/BA17),BC17/BA17, " - ")</f>
        <v>3.6363636363636362E-2</v>
      </c>
      <c r="BG17" s="196">
        <f>IF(ISNUMBER((AY17+AZ17)/BA17),(AY17+AZ17)/BA17," - ")</f>
        <v>1.7818181818181817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768</v>
      </c>
      <c r="J18" s="184">
        <f t="shared" si="15"/>
        <v>671</v>
      </c>
      <c r="K18" s="184">
        <f t="shared" si="15"/>
        <v>660</v>
      </c>
      <c r="L18" s="184">
        <f t="shared" si="15"/>
        <v>797</v>
      </c>
      <c r="M18" s="184">
        <f t="shared" si="15"/>
        <v>66</v>
      </c>
      <c r="N18" s="184">
        <f t="shared" si="15"/>
        <v>357</v>
      </c>
      <c r="O18" s="184">
        <f t="shared" si="15"/>
        <v>19</v>
      </c>
      <c r="P18" s="184">
        <f t="shared" si="15"/>
        <v>24</v>
      </c>
      <c r="Q18" s="184">
        <f t="shared" si="15"/>
        <v>20</v>
      </c>
      <c r="R18" s="184">
        <f t="shared" si="15"/>
        <v>82</v>
      </c>
      <c r="S18" s="184">
        <f t="shared" si="15"/>
        <v>712</v>
      </c>
      <c r="T18" s="184">
        <f t="shared" si="15"/>
        <v>557</v>
      </c>
      <c r="U18" s="184">
        <f t="shared" si="15"/>
        <v>632</v>
      </c>
      <c r="V18" s="184">
        <f t="shared" si="15"/>
        <v>972</v>
      </c>
      <c r="W18" s="184">
        <f t="shared" si="15"/>
        <v>64</v>
      </c>
      <c r="X18" s="184">
        <f t="shared" si="15"/>
        <v>406</v>
      </c>
      <c r="Y18" s="184">
        <f t="shared" si="15"/>
        <v>0</v>
      </c>
      <c r="Z18" s="184">
        <f t="shared" si="15"/>
        <v>0</v>
      </c>
      <c r="AA18" s="184">
        <f t="shared" si="15"/>
        <v>0</v>
      </c>
      <c r="AB18" s="184">
        <f t="shared" si="15"/>
        <v>0</v>
      </c>
      <c r="AC18" s="184">
        <f t="shared" si="15"/>
        <v>2</v>
      </c>
      <c r="AD18" s="184">
        <f t="shared" si="15"/>
        <v>15</v>
      </c>
      <c r="AE18" s="184">
        <f t="shared" si="15"/>
        <v>15</v>
      </c>
      <c r="AF18" s="184">
        <f t="shared" si="15"/>
        <v>2</v>
      </c>
      <c r="AG18" s="184">
        <f t="shared" si="15"/>
        <v>0</v>
      </c>
      <c r="AH18" s="184">
        <f t="shared" si="15"/>
        <v>0</v>
      </c>
      <c r="AI18" s="184">
        <f t="shared" si="15"/>
        <v>0</v>
      </c>
      <c r="AJ18" s="184">
        <f t="shared" si="15"/>
        <v>0</v>
      </c>
      <c r="AK18" s="184">
        <f t="shared" si="15"/>
        <v>29</v>
      </c>
      <c r="AL18" s="184">
        <f t="shared" si="15"/>
        <v>0</v>
      </c>
      <c r="AM18" s="184">
        <f t="shared" si="15"/>
        <v>27</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712</v>
      </c>
      <c r="AZ18" s="184">
        <f>SUBTOTAL(9,AZ14:AZ17)</f>
        <v>557</v>
      </c>
      <c r="BA18" s="184">
        <f>SUBTOTAL(9,BA14:BA17)</f>
        <v>632</v>
      </c>
      <c r="BB18" s="184">
        <f>SUBTOTAL(9,BB14:BB17)</f>
        <v>972</v>
      </c>
      <c r="BC18" s="184">
        <f>SUBTOTAL(9,BC14:BC17)</f>
        <v>64</v>
      </c>
      <c r="BD18" s="205">
        <f>IF(ISNUMBER(BA18/AZ18),BA18/AZ18," - ")</f>
        <v>1.1346499102333931</v>
      </c>
      <c r="BE18" s="206">
        <f>IF(ISNUMBER(BB18/BA18),BB18/BA18, " - ")</f>
        <v>1.5379746835443038</v>
      </c>
      <c r="BF18" s="206">
        <f>IF(ISNUMBER(BC18/BA18),BC18/BA18, " - ")</f>
        <v>0.10126582278481013</v>
      </c>
      <c r="BG18" s="207">
        <f>IF(ISNUMBER((AY18+AZ18)/BA18),(AY18+AZ18)/BA18," - ")</f>
        <v>2.0079113924050631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1772</v>
      </c>
      <c r="J19" s="134">
        <f t="shared" si="18"/>
        <v>901</v>
      </c>
      <c r="K19" s="134">
        <f t="shared" si="18"/>
        <v>994</v>
      </c>
      <c r="L19" s="134">
        <f t="shared" si="18"/>
        <v>1697</v>
      </c>
      <c r="M19" s="134">
        <f t="shared" si="18"/>
        <v>141</v>
      </c>
      <c r="N19" s="134">
        <f t="shared" si="18"/>
        <v>475</v>
      </c>
      <c r="O19" s="134">
        <f t="shared" si="18"/>
        <v>173</v>
      </c>
      <c r="P19" s="134">
        <f t="shared" si="18"/>
        <v>127</v>
      </c>
      <c r="Q19" s="134">
        <f t="shared" si="18"/>
        <v>280</v>
      </c>
      <c r="R19" s="134">
        <f t="shared" si="18"/>
        <v>1736</v>
      </c>
      <c r="S19" s="134">
        <f t="shared" si="18"/>
        <v>1576</v>
      </c>
      <c r="T19" s="134">
        <f t="shared" si="18"/>
        <v>864</v>
      </c>
      <c r="U19" s="134">
        <f t="shared" si="18"/>
        <v>828</v>
      </c>
      <c r="V19" s="134">
        <f t="shared" si="18"/>
        <v>1943</v>
      </c>
      <c r="W19" s="134">
        <f t="shared" si="18"/>
        <v>108</v>
      </c>
      <c r="X19" s="134">
        <f t="shared" si="18"/>
        <v>464</v>
      </c>
      <c r="Y19" s="134">
        <f t="shared" si="18"/>
        <v>91</v>
      </c>
      <c r="Z19" s="134">
        <f t="shared" si="18"/>
        <v>23</v>
      </c>
      <c r="AA19" s="134">
        <f t="shared" si="18"/>
        <v>26</v>
      </c>
      <c r="AB19" s="134">
        <f t="shared" si="18"/>
        <v>88</v>
      </c>
      <c r="AC19" s="134">
        <f t="shared" si="18"/>
        <v>2</v>
      </c>
      <c r="AD19" s="134">
        <f t="shared" si="18"/>
        <v>15</v>
      </c>
      <c r="AE19" s="134">
        <f t="shared" si="18"/>
        <v>15</v>
      </c>
      <c r="AF19" s="134">
        <f t="shared" si="18"/>
        <v>2</v>
      </c>
      <c r="AG19" s="134">
        <f t="shared" si="18"/>
        <v>123</v>
      </c>
      <c r="AH19" s="134">
        <f t="shared" si="18"/>
        <v>22</v>
      </c>
      <c r="AI19" s="134">
        <f t="shared" si="18"/>
        <v>14</v>
      </c>
      <c r="AJ19" s="134">
        <f t="shared" si="18"/>
        <v>131</v>
      </c>
      <c r="AK19" s="134">
        <f t="shared" si="18"/>
        <v>29</v>
      </c>
      <c r="AL19" s="134">
        <f t="shared" si="18"/>
        <v>0</v>
      </c>
      <c r="AM19" s="134">
        <f t="shared" si="18"/>
        <v>27</v>
      </c>
      <c r="AN19" s="210">
        <f t="shared" si="18"/>
        <v>2</v>
      </c>
      <c r="AO19" s="211">
        <v>3</v>
      </c>
      <c r="AP19" s="211">
        <v>2</v>
      </c>
      <c r="AQ19" s="211">
        <v>2</v>
      </c>
      <c r="AR19" s="211">
        <v>2</v>
      </c>
      <c r="AS19" s="153">
        <f t="shared" si="18"/>
        <v>0</v>
      </c>
      <c r="AT19" s="153">
        <f t="shared" si="18"/>
        <v>0</v>
      </c>
      <c r="AU19" s="211"/>
      <c r="AV19" s="212"/>
      <c r="AW19" s="211"/>
      <c r="AX19" s="212"/>
      <c r="AY19" s="133">
        <f>SUBTOTAL(9,AY9:AY18)</f>
        <v>1576</v>
      </c>
      <c r="AZ19" s="134">
        <f>SUBTOTAL(9,AZ9:AZ18)</f>
        <v>864</v>
      </c>
      <c r="BA19" s="134">
        <f>SUBTOTAL(9,BA9:BA18)</f>
        <v>828</v>
      </c>
      <c r="BB19" s="134">
        <f>SUBTOTAL(9,BB9:BB18)</f>
        <v>1943</v>
      </c>
      <c r="BC19" s="135">
        <f>SUBTOTAL(9,BC9:BC18)</f>
        <v>124</v>
      </c>
      <c r="BD19" s="213">
        <f>IF(ISNUMBER(BA19/AZ19),BA19/AZ19," - ")</f>
        <v>0.95833333333333337</v>
      </c>
      <c r="BE19" s="210">
        <f>IF(ISNUMBER(BB19/BA19),BB19/BA19, " - ")</f>
        <v>2.3466183574879227</v>
      </c>
      <c r="BF19" s="210">
        <f>IF(ISNUMBER(BC19/BA19),BC19/BA19, " - ")</f>
        <v>0.14975845410628019</v>
      </c>
      <c r="BG19" s="135">
        <f>IF(ISNUMBER((AY19+AZ19)/BA19),(AY19+AZ19)/BA19," - ")</f>
        <v>2.9468599033816427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ARAGÓN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t="str">
        <f>IF(ISNUMBER(IF(Criterios!B13="SI",S9,S9+AG9)),IF(Criterios!B13="SI",S9,S9+AG9)," - ")</f>
        <v xml:space="preserve"> - </v>
      </c>
      <c r="AZ9" s="124"/>
      <c r="BA9" s="124" t="str">
        <f>IF(ISNUMBER(IF(Criterios!B13="SI",U9,U9+AI9)),IF(Criterios!B13="SI",U9,U9+AI9)," - ")</f>
        <v xml:space="preserve"> - </v>
      </c>
      <c r="BB9" s="124" t="str">
        <f>IF(ISNUMBER(IF(Criterios!B13="SI",V9,V9+AJ9)),IF(Criterios!B13="SI",V9,V9+AJ9)," - ")</f>
        <v xml:space="preserve"> - </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t="str">
        <f>IF(ISNUMBER(IF(Criterios!B13="SI",S11,S11+AG11)),IF(Criterios!B13="SI",S11,S11+AG11)," - ")</f>
        <v xml:space="preserve"> - </v>
      </c>
      <c r="AZ11" s="127" t="str">
        <f>IF(ISNUMBER(IF(Criterios!B13="SI",T11,T11+AH11)),IF(Criterios!B13="SI",T11,T11+AH11)," - ")</f>
        <v xml:space="preserve"> - </v>
      </c>
      <c r="BA11" s="127" t="str">
        <f>IF(ISNUMBER(IF(Criterios!B13="SI",U11,U11+AI11)),IF(Criterios!B13="SI",U11,U11+AI11)," - ")</f>
        <v xml:space="preserve"> - </v>
      </c>
      <c r="BB11" s="127" t="str">
        <f>IF(ISNUMBER(IF(Criterios!B13="SI",V11,V11+AJ11)),IF(Criterios!B13="SI",V11,V11+AJ11)," - ")</f>
        <v xml:space="preserve"> - </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t="str">
        <f>IF(ISNUMBER(IF(Criterios!B13="SI",S12,S12+AG12)),IF(Criterios!B13="SI",S12,S12+AG12)," - ")</f>
        <v xml:space="preserve"> - </v>
      </c>
      <c r="AZ12" s="127" t="str">
        <f>IF(ISNUMBER(IF(Criterios!B13="SI",T12,T12+AH12)),IF(Criterios!B13="SI",T12,T12+AH12)," - ")</f>
        <v xml:space="preserve"> - </v>
      </c>
      <c r="BA12" s="127" t="str">
        <f>IF(ISNUMBER(IF(Criterios!B13="SI",U12,U12+AI12)),IF(Criterios!B13="SI",U12,U12+AI12)," - ")</f>
        <v xml:space="preserve"> - </v>
      </c>
      <c r="BB12" s="127" t="str">
        <f>IF(ISNUMBER(IF(Criterios!B13="SI",V12,V12+AJ12)),IF(Criterios!B13="SI",V12,V12+AJ12)," - ")</f>
        <v xml:space="preserve"> - </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ARAGÓN</v>
      </c>
    </row>
    <row r="2" spans="1:78" ht="16.5" customHeight="1">
      <c r="C2" s="488" t="str">
        <f>Criterios!A10 &amp;"  "&amp;Criterios!B10 &amp; "  " &amp; IF(NOT(ISBLANK(Criterios!A11)),Criterios!A11 &amp;"  "&amp;Criterios!B11,"")</f>
        <v>Provincias  ZARAGOZA  Resumenes por Partidos Judiciales  BARBASTRO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88</v>
      </c>
      <c r="AI12" s="334" t="str">
        <f>IF(ISNUMBER(Datos!CD12),Datos!CD12,"-")</f>
        <v>-</v>
      </c>
      <c r="AJ12" s="334" t="str">
        <f>IF(ISNUMBER(Datos!EN12),Datos!EN12," - ")</f>
        <v xml:space="preserve"> - </v>
      </c>
      <c r="AK12" s="334"/>
      <c r="AL12" s="479"/>
      <c r="AM12" s="335">
        <f>IF(ISNUMBER(Datos!R12),Datos!R12," - ")</f>
        <v>1654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1.4585152838427948</v>
      </c>
      <c r="BH12" s="260">
        <f>IF(ISNUMBER(((IF(J_V="SI",Datos!L12/Datos!K12,(Datos!L12+Datos!AB12)/(Datos!K12+Datos!AA12)))*11)/factor_trimestre),((IF(J_V="SI",Datos!L12/Datos!K12,(Datos!L12+Datos!AB12)/(Datos!K12+Datos!AA12)))*11)/factor_trimestre," - ")</f>
        <v>5.365269461077844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-8.6692435118718936E-2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260</v>
      </c>
      <c r="AD13" s="899">
        <f t="shared" si="1"/>
        <v>0</v>
      </c>
      <c r="AE13" s="899">
        <f t="shared" si="1"/>
        <v>0</v>
      </c>
      <c r="AF13" s="899">
        <f t="shared" si="1"/>
        <v>4</v>
      </c>
      <c r="AG13" s="899">
        <f t="shared" si="1"/>
        <v>0</v>
      </c>
      <c r="AH13" s="899">
        <f t="shared" si="1"/>
        <v>88</v>
      </c>
      <c r="AI13" s="899">
        <f t="shared" si="1"/>
        <v>0</v>
      </c>
      <c r="AJ13" s="899">
        <f t="shared" si="1"/>
        <v>0</v>
      </c>
      <c r="AK13" s="899">
        <f t="shared" si="1"/>
        <v>0</v>
      </c>
      <c r="AL13" s="899">
        <f t="shared" si="1"/>
        <v>0</v>
      </c>
      <c r="AM13" s="899">
        <f t="shared" si="1"/>
        <v>1654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118</v>
      </c>
      <c r="BE13" s="899">
        <f t="shared" si="1"/>
        <v>0</v>
      </c>
      <c r="BF13" s="899">
        <f t="shared" si="1"/>
        <v>0</v>
      </c>
      <c r="BG13" s="899">
        <f>IF(ISNUMBER(Datos!K13/Datos!J13),Datos!K13/Datos!J13," - ")</f>
        <v>1.4521739130434783</v>
      </c>
      <c r="BH13" s="903">
        <f>IF(ISNUMBER(((Datos!L13/Datos!K13)*11)/factor_trimestre),((Datos!L13/Datos!K13)*11)/factor_trimestre," - ")</f>
        <v>5.3892215568862278</v>
      </c>
      <c r="BI13" s="899">
        <f>IF(ISNUMBER('Resol  Asuntos'!D13/NºAsuntos!G13),'Resol  Asuntos'!D13/NºAsuntos!G13," - ")</f>
        <v>0.22455089820359281</v>
      </c>
      <c r="BJ13" s="899" t="str">
        <f>IF(ISNUMBER(Datos!CI13/Datos!CJ13),Datos!CI13/Datos!CJ13," - ")</f>
        <v xml:space="preserve"> - </v>
      </c>
      <c r="BK13" s="899">
        <f>SUBTOTAL(9,BK8:BK12)</f>
        <v>0</v>
      </c>
      <c r="BL13" s="899">
        <f>IF(ISNUMBER((I13-AB13+L13)/(F13)),(I13-AB13+L13)/(F13)," - ")</f>
        <v>0</v>
      </c>
      <c r="BM13" s="904">
        <f>SUBTOTAL(9,BM9:BM12)</f>
        <v>-8.6692435118718936E-2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771</v>
      </c>
      <c r="G16" s="598">
        <f>IF(ISNUMBER(IF(D_I="SI",Datos!I16,Datos!I16+Datos!AC16)),IF(D_I="SI",Datos!I16,Datos!I16+Datos!AC16)," - ")</f>
        <v>753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610</v>
      </c>
      <c r="AC16" s="226">
        <f>IF(ISNUMBER(Datos!Q16),Datos!Q16," - ")</f>
        <v>20</v>
      </c>
      <c r="AD16" s="334"/>
      <c r="AE16" s="484"/>
      <c r="AF16" s="596">
        <f>IF(ISNUMBER(IF(D_I="SI",Datos!L16,Datos!L16+Datos!AF16)),IF(D_I="SI",Datos!L16,Datos!L16+Datos!AF16)," - ")</f>
        <v>791</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337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0.96825396825396826</v>
      </c>
      <c r="BH16" s="260">
        <f>IF(ISNUMBER(((IF(D_I="SI",Datos!L16/Datos!K16,(Datos!L16+Datos!AF16)/(Datos!K16+Datos!AE16)))*11)/factor_trimestre),((IF(D_I="SI",Datos!L16/Datos!K16,(Datos!L16+Datos!AF16)/(Datos!K16+Datos!AE16)))*11)/factor_trimestre," - ")</f>
        <v>2.5934426229508198</v>
      </c>
      <c r="BI16" s="243">
        <f>IF(ISNUMBER('Resol  Asuntos'!D16/NºAsuntos!G16),'Resol  Asuntos'!D16/NºAsuntos!G16," - ")</f>
        <v>0.10491803278688525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1.2195121951219512</v>
      </c>
      <c r="BH17" s="260">
        <f>IF(ISNUMBER(((IF(D_I="SI",Datos!L17/Datos!K17,(Datos!L17+Datos!AF17)/(Datos!K17+Datos!AE17)))*11)/factor_trimestre),((IF(D_I="SI",Datos!L17/Datos!K17,(Datos!L17+Datos!AF17)/(Datos!K17+Datos!AE17)))*11)/factor_trimestre," - ")</f>
        <v>0.23999999999999996</v>
      </c>
      <c r="BI17" s="243">
        <f>IF(ISNUMBER('Resol  Asuntos'!D17/NºAsuntos!G17),'Resol  Asuntos'!D17/NºAsuntos!G17," - ")</f>
        <v>0.04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771</v>
      </c>
      <c r="G18" s="898">
        <f>SUBTOTAL(9,G15:G17)</f>
        <v>768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660</v>
      </c>
      <c r="AC18" s="899">
        <f t="shared" si="4"/>
        <v>20</v>
      </c>
      <c r="AD18" s="899">
        <f t="shared" si="4"/>
        <v>0</v>
      </c>
      <c r="AE18" s="899">
        <f t="shared" si="4"/>
        <v>0</v>
      </c>
      <c r="AF18" s="899">
        <f t="shared" si="4"/>
        <v>797</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357</v>
      </c>
      <c r="BE18" s="899">
        <f t="shared" si="4"/>
        <v>0</v>
      </c>
      <c r="BF18" s="899">
        <f t="shared" si="4"/>
        <v>0</v>
      </c>
      <c r="BG18" s="899">
        <f>IF(ISNUMBER(Datos!K18/Datos!J18),Datos!K18/Datos!J18," - ")</f>
        <v>0.98360655737704916</v>
      </c>
      <c r="BH18" s="903">
        <f>IF(ISNUMBER(((Datos!L18/Datos!K18)*11)/factor_trimestre),((Datos!L18/Datos!K18)*11)/factor_trimestre," - ")</f>
        <v>2.415151515151515</v>
      </c>
      <c r="BI18" s="899">
        <f>SUBTOTAL(9,BI15:BI17)</f>
        <v>0.14491803278688525</v>
      </c>
      <c r="BJ18" s="899">
        <f>SUBTOTAL(9,BJ15:BJ17)</f>
        <v>0</v>
      </c>
      <c r="BK18" s="899">
        <f>SUBTOTAL(9,BK15:BK17)</f>
        <v>0</v>
      </c>
      <c r="BL18" s="899">
        <f>IF(ISNUMBER((I18-AB18+L18)/(F18)),(I18-AB18+L18)/(F18)," - ")</f>
        <v>-0.85603112840466922</v>
      </c>
      <c r="BM18" s="905">
        <f>IF(ISNUMBER((Datos!P18-Datos!Q18)/(Datos!R18-Datos!P18+Datos!Q18)),(Datos!P18-Datos!Q18)/(Datos!R18-Datos!P18+Datos!Q18)," - ")</f>
        <v>5.128205128205128E-2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774</v>
      </c>
      <c r="G19" s="820">
        <f t="shared" si="6"/>
        <v>771</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660</v>
      </c>
      <c r="AC19" s="821">
        <f t="shared" si="7"/>
        <v>280</v>
      </c>
      <c r="AD19" s="821">
        <f t="shared" si="7"/>
        <v>0</v>
      </c>
      <c r="AE19" s="821">
        <f t="shared" si="7"/>
        <v>0</v>
      </c>
      <c r="AF19" s="828">
        <f t="shared" si="7"/>
        <v>801</v>
      </c>
      <c r="AG19" s="828">
        <f t="shared" si="7"/>
        <v>0</v>
      </c>
      <c r="AH19" s="828">
        <f t="shared" si="7"/>
        <v>88</v>
      </c>
      <c r="AI19" s="828">
        <f t="shared" si="7"/>
        <v>0</v>
      </c>
      <c r="AJ19" s="821">
        <f t="shared" si="7"/>
        <v>0</v>
      </c>
      <c r="AK19" s="828">
        <f t="shared" si="7"/>
        <v>0</v>
      </c>
      <c r="AL19" s="828">
        <f t="shared" si="7"/>
        <v>0</v>
      </c>
      <c r="AM19" s="828">
        <f t="shared" si="7"/>
        <v>1736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141</v>
      </c>
      <c r="BD19" s="820">
        <f t="shared" si="7"/>
        <v>475</v>
      </c>
      <c r="BE19" s="820">
        <f t="shared" si="7"/>
        <v>0</v>
      </c>
      <c r="BF19" s="830">
        <f t="shared" si="7"/>
        <v>0</v>
      </c>
      <c r="BG19" s="915">
        <f>IF(ISNUMBER(Datos!K19/Datos!J19),Datos!K19/Datos!J19," - ")</f>
        <v>1.1032186459489457</v>
      </c>
      <c r="BH19" s="915">
        <f>IF(ISNUMBER(((Datos!L19/Datos!K19)*11)/factor_trimestre),((Datos!L19/Datos!K19)*11)/factor_trimestre," - ")</f>
        <v>3.4144869215291749</v>
      </c>
      <c r="BI19" s="813">
        <f>IF(ISNUMBER(Datos!J19/Datos!I19),Datos!J19/Datos!I19," - ")</f>
        <v>0.50846501128668176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-0.8527131782945736</v>
      </c>
      <c r="BM19" s="889">
        <f>IF(ISNUMBER((Datos!P19-Datos!Q19+R19)/(Datos!R19-Datos!P19+Datos!Q19-R19)),(Datos!P19-Datos!Q19+R19)/(Datos!R19-Datos!P19+Datos!Q19-R19)," - ")</f>
        <v>-8.0995235574377974E-2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308.39999999999998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443.40500673763256</v>
      </c>
      <c r="G21" s="552">
        <f>IF(ISNUMBER(STDEV(G8:G18)),STDEV(G8:G18),"-")</f>
        <v>412.77209207987886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339.74990802059091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35.92213802100315</v>
      </c>
      <c r="BD21" s="551"/>
      <c r="BE21" s="551">
        <f>IF(ISNUMBER(STDEV(BE8:BE18)),STDEV(BE8:BE18),"-")</f>
        <v>0</v>
      </c>
      <c r="BF21" s="556">
        <f>IF(ISNUMBER(STDEV(BF8:BF18)),STDEV(BF8:BF18),"-")</f>
        <v>0</v>
      </c>
      <c r="BG21" s="775">
        <f>IF(ISNUMBER(STDEV(BG8:BG18)),STDEV(BG8:BG18),"-")</f>
        <v>0.54093203135575052</v>
      </c>
      <c r="BH21" s="776">
        <f>IF(ISNUMBER(STDEV(BH8:BH18)),STDEV(BH8:BH18),"-")</f>
        <v>2.1924062098751143</v>
      </c>
      <c r="BI21" s="249">
        <f>IF(ISNUMBER(STDEV(BI8:BI18)),STDEV(BI8:BI18),"-")</f>
        <v>7.7208912673575408E-2</v>
      </c>
      <c r="BJ21" s="230" t="str">
        <f>IF(ISNUMBER(BL21/BM21),BL21/BM21," - ")</f>
        <v xml:space="preserve"> - </v>
      </c>
      <c r="BK21" s="575"/>
      <c r="BL21" s="559">
        <f>IF(ISNUMBER(STDEV(BL8:BL18)),STDEV(BL8:BL18),"-")</f>
        <v>0.60530541580171382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nov. 2024</v>
      </c>
    </row>
    <row r="32" spans="1:78">
      <c r="C32" s="527"/>
      <c r="D32" s="527"/>
    </row>
  </sheetData>
  <sheetProtection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ARAGÓN</v>
      </c>
    </row>
    <row r="2" spans="1:78" ht="16.5" customHeight="1">
      <c r="C2" s="528" t="str">
        <f>Criterios!A10 &amp;"  "&amp;Criterios!B10 &amp; "  " &amp; IF(NOT(ISBLANK(Criterios!A11)),Criterios!A11 &amp;"  "&amp;Criterios!B11,"")</f>
        <v>Provincias  ZARAGOZA  Resumenes por Partidos Judiciales  BARBASTRO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260</v>
      </c>
      <c r="AA12" s="332" t="str">
        <f>IF(ISNUMBER(IF(J_V="SI",Datos!L12,Datos!L12+Datos!AB12)-IF(Monitorios="SI",Datos!CD12,0)),
                          IF(J_V="SI",Datos!L12,Datos!L12+Datos!AB12)-IF(Monitorios="SI",Datos!CD12,0),
                          " - ")</f>
        <v xml:space="preserve"> - </v>
      </c>
      <c r="AB12" s="334"/>
      <c r="AC12" s="334"/>
      <c r="AD12" s="484"/>
      <c r="AE12" s="484">
        <f>IF(ISNUMBER(Datos!R12),Datos!R12," - ")</f>
        <v>1654</v>
      </c>
      <c r="AF12" s="229" t="str">
        <f>IF(ISNUMBER(Datos!BV12),Datos!BV12," - ")</f>
        <v xml:space="preserve"> - </v>
      </c>
      <c r="AG12" s="225" t="str">
        <f>IF(ISNUMBER(Datos!DV12),Datos!DV12," - ")</f>
        <v xml:space="preserve"> - </v>
      </c>
      <c r="AH12" s="298"/>
      <c r="AI12" s="227"/>
      <c r="AJ12" s="225">
        <f>IF(ISNUMBER(Datos!M12),Datos!M12," - ")</f>
        <v>75</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5.365269461077844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-8.6692435118718936E-2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260</v>
      </c>
      <c r="AA13" s="900">
        <f t="shared" si="2"/>
        <v>4</v>
      </c>
      <c r="AB13" s="900">
        <f t="shared" si="2"/>
        <v>0</v>
      </c>
      <c r="AC13" s="900">
        <f t="shared" si="2"/>
        <v>0</v>
      </c>
      <c r="AD13" s="900">
        <f t="shared" si="2"/>
        <v>0</v>
      </c>
      <c r="AE13" s="900">
        <f t="shared" si="2"/>
        <v>1654</v>
      </c>
      <c r="AF13" s="908">
        <f t="shared" si="2"/>
        <v>0</v>
      </c>
      <c r="AG13" s="908">
        <f t="shared" si="2"/>
        <v>0</v>
      </c>
      <c r="AH13" s="908">
        <f t="shared" si="2"/>
        <v>0</v>
      </c>
      <c r="AI13" s="908">
        <f t="shared" si="2"/>
        <v>0</v>
      </c>
      <c r="AJ13" s="908">
        <f t="shared" si="2"/>
        <v>75</v>
      </c>
      <c r="AK13" s="908">
        <f t="shared" si="2"/>
        <v>118</v>
      </c>
      <c r="AL13" s="908">
        <f t="shared" si="2"/>
        <v>0</v>
      </c>
      <c r="AM13" s="908">
        <f t="shared" si="2"/>
        <v>0</v>
      </c>
      <c r="AN13" s="908">
        <f t="shared" si="2"/>
        <v>0</v>
      </c>
      <c r="AO13" s="904">
        <f>IF(ISNUMBER(((NºAsuntos!I13/NºAsuntos!G13)*11)/factor_trimestre),((NºAsuntos!I13/NºAsuntos!G13)*11)/factor_trimestre," - ")</f>
        <v>5.3892215568862278</v>
      </c>
      <c r="AP13" s="910" t="str">
        <f>IF(ISNUMBER(Datos!CI13/Datos!CJ13),Datos!CI13/Datos!CJ13," - ")</f>
        <v xml:space="preserve"> - </v>
      </c>
      <c r="AQ13" s="928">
        <f t="shared" ref="AQ13:AV13" si="3">SUBTOTAL(9,AQ9:AQ12)</f>
        <v>0</v>
      </c>
      <c r="AR13" s="928">
        <f t="shared" si="3"/>
        <v>-8.6692435118718936E-2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771</v>
      </c>
      <c r="G16" s="225">
        <f>IF(ISNUMBER(IF(D_I="SI",Datos!I16,Datos!I16+Datos!AC16)),IF(D_I="SI",Datos!I16,Datos!I16+Datos!AC16)," - ")</f>
        <v>753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610</v>
      </c>
      <c r="Z16" s="619">
        <f>IF(ISNUMBER(Datos!Q16),Datos!Q16," - ")</f>
        <v>20</v>
      </c>
      <c r="AA16" s="332">
        <f>IF(ISNUMBER(IF(D_I="SI",Datos!L16,Datos!L16+Datos!AF16)),IF(D_I="SI",Datos!L16,Datos!L16+Datos!AF16)," - ")</f>
        <v>791</v>
      </c>
      <c r="AB16" s="334"/>
      <c r="AC16" s="334"/>
      <c r="AD16" s="484"/>
      <c r="AE16" s="484">
        <f>IF(ISNUMBER(Datos!R16),Datos!R16," - ")</f>
        <v>82</v>
      </c>
      <c r="AF16" s="229" t="str">
        <f>IF(ISNUMBER(Datos!BV16),Datos!BV16," - ")</f>
        <v xml:space="preserve"> - </v>
      </c>
      <c r="AG16" s="225"/>
      <c r="AH16" s="298"/>
      <c r="AI16" s="227"/>
      <c r="AJ16" s="225">
        <f>IF(ISNUMBER(Datos!M16),Datos!M16," - ")</f>
        <v>64</v>
      </c>
      <c r="AK16" s="229">
        <f>IF(ISNUMBER(Datos!N16),Datos!N16," - ")</f>
        <v>337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2.5934426229508198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0.23999999999999996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771</v>
      </c>
      <c r="G18" s="898">
        <f>SUBTOTAL(9,G15:G17)</f>
        <v>768</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660</v>
      </c>
      <c r="Z18" s="932">
        <f t="shared" si="5"/>
        <v>20</v>
      </c>
      <c r="AA18" s="932">
        <f t="shared" si="5"/>
        <v>797</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66</v>
      </c>
      <c r="AK18" s="932">
        <f t="shared" si="5"/>
        <v>357</v>
      </c>
      <c r="AL18" s="932">
        <f t="shared" si="5"/>
        <v>0</v>
      </c>
      <c r="AM18" s="932">
        <f t="shared" si="5"/>
        <v>0</v>
      </c>
      <c r="AN18" s="932">
        <f t="shared" si="5"/>
        <v>0</v>
      </c>
      <c r="AO18" s="934">
        <f>IF(ISNUMBER(((NºAsuntos!I18/NºAsuntos!G18)*11)/factor_trimestre),((NºAsuntos!I18/NºAsuntos!G18)*11)/factor_trimestre," - ")</f>
        <v>2.415151515151515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774</v>
      </c>
      <c r="G19" s="820">
        <f t="shared" si="7"/>
        <v>771</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660</v>
      </c>
      <c r="Z19" s="827">
        <f t="shared" si="8"/>
        <v>280</v>
      </c>
      <c r="AA19" s="828">
        <f t="shared" si="8"/>
        <v>801</v>
      </c>
      <c r="AB19" s="828">
        <f t="shared" si="8"/>
        <v>0</v>
      </c>
      <c r="AC19" s="828">
        <f t="shared" si="8"/>
        <v>0</v>
      </c>
      <c r="AD19" s="829">
        <f t="shared" si="8"/>
        <v>0</v>
      </c>
      <c r="AE19" s="829">
        <f t="shared" si="8"/>
        <v>1736</v>
      </c>
      <c r="AF19" s="830">
        <f t="shared" si="8"/>
        <v>0</v>
      </c>
      <c r="AG19" s="831">
        <f t="shared" si="8"/>
        <v>0</v>
      </c>
      <c r="AH19" s="832">
        <f t="shared" si="8"/>
        <v>0</v>
      </c>
      <c r="AI19" s="830">
        <f t="shared" si="8"/>
        <v>0</v>
      </c>
      <c r="AJ19" s="820">
        <f t="shared" si="8"/>
        <v>141</v>
      </c>
      <c r="AK19" s="820">
        <f t="shared" si="8"/>
        <v>475</v>
      </c>
      <c r="AL19" s="820">
        <f t="shared" si="8"/>
        <v>0</v>
      </c>
      <c r="AM19" s="833">
        <f t="shared" si="8"/>
        <v>0</v>
      </c>
      <c r="AN19" s="823">
        <f>IF(ISNUMBER(Datos!K19/Datos!J19),Datos!K19/Datos!J19," - ")</f>
        <v>1.1032186459489457</v>
      </c>
      <c r="AO19" s="823">
        <f>IF(ISNUMBER(FIND("06",Criterios!A8,1)),(IF(ISNUMBER(((Datos!R19/Datos!Q19)*11)/factor_trimestre),((Datos!R19/Datos!Q19)*11)/factor_trimestre," - ")),(IF(ISNUMBER(((Datos!L19/Datos!K19)*11)/factor_trimestre),((Datos!L19/Datos!K19)*11)/factor_trimestre," - ")))</f>
        <v>3.4144869215291749</v>
      </c>
      <c r="AP19" s="834" t="str">
        <f>IF(ISNUMBER(Datos!CI19/Datos!CJ19),Datos!CI19/Datos!CJ19," - ")</f>
        <v xml:space="preserve"> - </v>
      </c>
      <c r="AQ19" s="834">
        <f>IF(OR(ISNUMBER(FIND("01",Criterios!A8,1)),ISNUMBER(FIND("02",Criterios!A8,1)),ISNUMBER(FIND("03",Criterios!A8,1)),ISNUMBER(FIND("04",Criterios!A8,1))),(J19-Y19+K19)/(F19-K19),(I19-Y19+K19)/(F19-K19))</f>
        <v>-0.8527131782945736</v>
      </c>
      <c r="AR19" s="834">
        <f>IF(ISNUMBER((Datos!P19-Datos!Q19+O19)/(Datos!R19-Datos!P19+Datos!Q19-O19)),(Datos!P19-Datos!Q19+O19)/(Datos!R19-Datos!P19+Datos!Q19-O19)," - ")</f>
        <v>-8.0995235574377974E-2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308.39999999999998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443.40500673763256</v>
      </c>
      <c r="G21" s="552">
        <f>IF(ISNUMBER(STDEV(G8:G18)),STDEV(G8:G18),"-")</f>
        <v>412.77209207987886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35.92213802100315</v>
      </c>
      <c r="AK21" s="252"/>
      <c r="AL21" s="252">
        <f>IF(ISNUMBER(STDEV(AL8:AL18)),STDEV(AL8:AL18),"-")</f>
        <v>0</v>
      </c>
      <c r="AM21" s="254">
        <f>IF(ISNUMBER(STDEV(AM8:AM18)),STDEV(AM8:AM18),"-")</f>
        <v>0</v>
      </c>
      <c r="AN21" s="539">
        <f>IF(ISNUMBER(STDEV(AN8:AN18)),STDEV(AN8:AN18),"-")</f>
        <v>0</v>
      </c>
      <c r="AO21" s="540">
        <f>IF(ISNUMBER(STDEV(AO8:AO18)),STDEV(AO8:AO18),"-")</f>
        <v>2.1924062098751143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nov. 2024</v>
      </c>
    </row>
    <row r="32" spans="1:78" ht="13.5" thickBot="1">
      <c r="C32" s="536"/>
      <c r="D32" s="527"/>
      <c r="E32" s="527"/>
    </row>
    <row r="33" spans="12:12" ht="15" thickBot="1">
      <c r="L33" s="546"/>
    </row>
  </sheetData>
  <sheetProtection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ARAGÓN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ARAGÓN</v>
      </c>
    </row>
    <row r="2" spans="1:78" ht="16.5" customHeight="1">
      <c r="C2" s="488" t="str">
        <f>Criterios!A10 &amp;"  "&amp;Criterios!B10 &amp; "  " &amp; IF(NOT(ISBLANK(Criterios!A11)),Criterios!A11 &amp;"  "&amp;Criterios!B11,"")</f>
        <v>Provincias  ZARAGOZA  Resumenes por Partidos Judiciales  BARBASTRO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0.22455089820359281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0.1587814628412906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nov. 2024</v>
      </c>
    </row>
    <row r="32" spans="1:78">
      <c r="C32" s="774"/>
      <c r="D32" s="774"/>
    </row>
  </sheetData>
  <sheetProtection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ARAGÓN</v>
      </c>
      <c r="W1"/>
      <c r="X1"/>
    </row>
    <row r="2" spans="1:78" ht="16.5" customHeight="1">
      <c r="C2" s="488" t="str">
        <f>Criterios!A10 &amp;"  "&amp;Criterios!B10 &amp; "  " &amp; IF(NOT(ISBLANK(Criterios!A11)),Criterios!A11 &amp;"  "&amp;Criterios!B11,"")</f>
        <v>Provincias  ZARAGOZA  Resumenes por Partidos Judiciales  BARBASTRO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5.365269461077844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-8.6692435118718936E-2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260</v>
      </c>
      <c r="AE13" s="939">
        <f t="shared" si="1"/>
        <v>0</v>
      </c>
      <c r="AF13" s="939">
        <f t="shared" si="1"/>
        <v>4</v>
      </c>
      <c r="AG13" s="939">
        <f t="shared" si="1"/>
        <v>0</v>
      </c>
      <c r="AH13" s="939">
        <f t="shared" si="1"/>
        <v>1654</v>
      </c>
      <c r="AI13" s="939">
        <f t="shared" si="1"/>
        <v>0</v>
      </c>
      <c r="AJ13" s="939">
        <f t="shared" si="1"/>
        <v>0</v>
      </c>
      <c r="AK13" s="939">
        <f t="shared" si="1"/>
        <v>0</v>
      </c>
      <c r="AL13" s="939">
        <f t="shared" si="1"/>
        <v>75</v>
      </c>
      <c r="AM13" s="939">
        <f t="shared" si="1"/>
        <v>118</v>
      </c>
      <c r="AN13" s="939">
        <f t="shared" si="1"/>
        <v>0</v>
      </c>
      <c r="AO13" s="939">
        <f t="shared" si="1"/>
        <v>0</v>
      </c>
      <c r="AP13" s="944">
        <f>IF(ISNUMBER(((Datos!L13/Datos!K13)*11)/factor_trimestre),((Datos!L13/Datos!K13)*11)/factor_trimestre," - ")</f>
        <v>5.3892215568862278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-8.6692435118718936E-2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2.415151515151515</v>
      </c>
      <c r="AQ18" s="944">
        <f>IF(ISNUMBER(((Datos!M18/Datos!L18)*11)/factor_trimestre),((Datos!M18/Datos!L18)*11)/factor_trimestre," - ")</f>
        <v>0.16562107904642409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5.128205128205128E-2</v>
      </c>
      <c r="AW18" s="946">
        <f>IF(ISNUMBER((Datos!Q18-Datos!R18)/(Datos!S18-Datos!Q18+Datos!R18)),(Datos!Q18-Datos!R18)/(Datos!S18-Datos!Q18+Datos!R18)," - ")</f>
        <v>-8.0103359173126609E-2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260</v>
      </c>
      <c r="AE19" s="957">
        <f t="shared" si="5"/>
        <v>0</v>
      </c>
      <c r="AF19" s="958">
        <f t="shared" si="5"/>
        <v>4</v>
      </c>
      <c r="AG19" s="958">
        <f t="shared" si="5"/>
        <v>0</v>
      </c>
      <c r="AH19" s="958">
        <f t="shared" si="5"/>
        <v>1654</v>
      </c>
      <c r="AI19" s="958">
        <f t="shared" si="5"/>
        <v>0</v>
      </c>
      <c r="AJ19" s="959">
        <f t="shared" si="5"/>
        <v>0</v>
      </c>
      <c r="AK19" s="959">
        <f t="shared" si="5"/>
        <v>0</v>
      </c>
      <c r="AL19" s="951">
        <f t="shared" si="5"/>
        <v>75</v>
      </c>
      <c r="AM19" s="951">
        <f t="shared" si="5"/>
        <v>118</v>
      </c>
      <c r="AN19" s="951">
        <f t="shared" si="5"/>
        <v>0</v>
      </c>
      <c r="AO19" s="951">
        <f t="shared" si="5"/>
        <v>0</v>
      </c>
      <c r="AP19" s="951">
        <f>IF(ISNUMBER(((Datos!L19/Datos!K19)*11)/factor_trimestre),((Datos!L19/Datos!K19)*11)/factor_trimestre," - ")</f>
        <v>3.4144869215291749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-8.0995235574377974E-2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43.301270189221931</v>
      </c>
      <c r="AM21" s="736"/>
      <c r="AN21" s="736">
        <f>IF(ISNUMBER(STDEV(AN8:AN18)),STDEV(AN8:AN18),"-")</f>
        <v>0</v>
      </c>
      <c r="AO21" s="742">
        <f>IF(ISNUMBER(STDEV(AO8:AO18)),STDEV(AO8:AO18),"-")</f>
        <v>0</v>
      </c>
      <c r="AP21" s="779">
        <f>IF(ISNUMBER(STDEV(AP8:AP18)),STDEV(AP8:AP18),"-")</f>
        <v>1.7102076974700162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nov. 2024</v>
      </c>
      <c r="W30"/>
      <c r="X30"/>
    </row>
    <row r="32" spans="1:78">
      <c r="C32" s="774"/>
      <c r="D32" s="774"/>
      <c r="W32"/>
      <c r="X32"/>
    </row>
  </sheetData>
  <sheetProtection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SYSTEM</cp:lastModifiedBy>
  <cp:lastPrinted>2021-10-22T08:26:52Z</cp:lastPrinted>
  <dcterms:created xsi:type="dcterms:W3CDTF">2003-07-15T10:22:03Z</dcterms:created>
  <dcterms:modified xsi:type="dcterms:W3CDTF">2024-11-28T19:09:52Z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